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8" documentId="8_{6D11A18F-F333-409F-A17C-768A82FC07DF}" xr6:coauthVersionLast="47" xr6:coauthVersionMax="47" xr10:uidLastSave="{93D545CC-48E4-4A1E-ABFB-6D4CD41C4134}"/>
  <bookViews>
    <workbookView xWindow="-120" yWindow="-120" windowWidth="29040" windowHeight="17640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15" sheetId="67" r:id="rId58"/>
    <sheet name="326" sheetId="74" r:id="rId59"/>
    <sheet name="332" sheetId="31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5" sheetId="73" r:id="rId67"/>
    <sheet name="327" sheetId="75" r:id="rId68"/>
    <sheet name="Div 4" sheetId="36" r:id="rId69"/>
    <sheet name="310 &amp; 491" sheetId="39" r:id="rId70"/>
    <sheet name="491" sheetId="42" r:id="rId71"/>
    <sheet name="405" sheetId="76" r:id="rId72"/>
    <sheet name="406" sheetId="77" r:id="rId73"/>
    <sheet name="411" sheetId="78" r:id="rId74"/>
    <sheet name="412" sheetId="79" r:id="rId75"/>
    <sheet name="413" sheetId="80" r:id="rId76"/>
    <sheet name="414" sheetId="81" r:id="rId77"/>
    <sheet name="415" sheetId="82" r:id="rId78"/>
    <sheet name="418" sheetId="83" r:id="rId79"/>
    <sheet name="423" sheetId="84" r:id="rId80"/>
    <sheet name="424" sheetId="85" r:id="rId81"/>
    <sheet name="425" sheetId="86" r:id="rId82"/>
    <sheet name="492" sheetId="45" r:id="rId83"/>
    <sheet name="430" sheetId="87" r:id="rId84"/>
    <sheet name="433" sheetId="88" r:id="rId85"/>
    <sheet name="435" sheetId="89" r:id="rId86"/>
    <sheet name="444" sheetId="90" r:id="rId87"/>
    <sheet name="450" sheetId="91" r:id="rId88"/>
    <sheet name="Div 5" sheetId="48" r:id="rId89"/>
    <sheet name="501" sheetId="92" r:id="rId90"/>
    <sheet name="Dept" sheetId="93" state="hidden" r:id="rId91"/>
    <sheet name="OSR_Dept_Y0WUKY" sheetId="94" state="hidden" r:id="rId92"/>
    <sheet name="OSR_Summary (...56e5d78f_5JEYZH" sheetId="95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5">'307'!$D$13:$D$16</definedName>
    <definedName name="OSRRefD13x_0" localSheetId="51">'308'!$D$13:$D$17</definedName>
    <definedName name="OSRRefD13x_0" localSheetId="64">'309'!$D$13:$D$16</definedName>
    <definedName name="OSRRefD13x_0" localSheetId="63">'310'!$D$13:$D$18</definedName>
    <definedName name="OSRRefD13x_0" localSheetId="69">'310 &amp; 491'!$D$13:$D$18</definedName>
    <definedName name="OSRRefD13x_0" localSheetId="52">'311'!$D$13:$D$17</definedName>
    <definedName name="OSRRefD13x_0" localSheetId="57">'315'!$D$13:$D$17</definedName>
    <definedName name="OSRRefD13x_0" localSheetId="60">'316'!$D$13:$D$17</definedName>
    <definedName name="OSRRefD13x_0" localSheetId="62">'317'!$D$13:$D$17</definedName>
    <definedName name="OSRRefD13x_0" localSheetId="65">'321'!$D$13:$D$14</definedName>
    <definedName name="OSRRefD13x_0" localSheetId="53">'324'!$D$13:$D$14</definedName>
    <definedName name="OSRRefD13x_0" localSheetId="66">'325'!$D$13:$D$14</definedName>
    <definedName name="OSRRefD13x_0" localSheetId="58">'326'!$D$13:$D$16</definedName>
    <definedName name="OSRRefD13x_0" localSheetId="67">'327'!$D$13:$D$15</definedName>
    <definedName name="OSRRefD13x_0" localSheetId="56">'331'!$D$13:$D$17</definedName>
    <definedName name="OSRRefD13x_0" localSheetId="59">'332'!$D$13:$D$17</definedName>
    <definedName name="OSRRefD13x_0" localSheetId="54">'333'!$D$13:$D$17</definedName>
    <definedName name="OSRRefD13x_0" localSheetId="71">'405'!$D$13:$D$16</definedName>
    <definedName name="OSRRefD13x_0" localSheetId="77">'415'!$D$13:$D$16</definedName>
    <definedName name="OSRRefD13x_0" localSheetId="78">'418'!$D$13:$D$14</definedName>
    <definedName name="OSRRefD13x_0" localSheetId="81">'425'!$D$13</definedName>
    <definedName name="OSRRefD13x_0" localSheetId="84">'433'!$D$13:$D$16</definedName>
    <definedName name="OSRRefD13x_0" localSheetId="85">'435'!$D$13:$D$14</definedName>
    <definedName name="OSRRefD13x_0" localSheetId="86">'444'!$D$13:$D$16</definedName>
    <definedName name="OSRRefD13x_0" localSheetId="87">'450'!$D$13:$D$16</definedName>
    <definedName name="OSRRefD13x_0" localSheetId="70">'491'!$D$13:$D$17</definedName>
    <definedName name="OSRRefD13x_0" localSheetId="82">'492'!$D$13:$D$18</definedName>
    <definedName name="OSRRefD13x_0" localSheetId="89">'501'!$D$13</definedName>
    <definedName name="OSRRefD13x_0" localSheetId="47">'Div 3'!$D$13:$D$23</definedName>
    <definedName name="OSRRefD13x_0" localSheetId="68">'Div 4'!$D$13:$D$20</definedName>
    <definedName name="OSRRefD13x_0" localSheetId="88">'Div 5'!$D$13</definedName>
    <definedName name="OSRRefD13x_0" localSheetId="61">'Div 6'!$D$13:$D$17</definedName>
    <definedName name="OSRRefD13x_0" localSheetId="2">Summary!$D$13:$D$25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5">'307'!$D$19:$D$28</definedName>
    <definedName name="OSRRefD16x_0" localSheetId="51">'308'!$D$20:$D$29</definedName>
    <definedName name="OSRRefD16x_0" localSheetId="64">'309'!$D$19:$D$20</definedName>
    <definedName name="OSRRefD16x_0" localSheetId="63">'310'!$D$21:$D$23</definedName>
    <definedName name="OSRRefD16x_0" localSheetId="69">'310 &amp; 491'!$D$21:$D$23</definedName>
    <definedName name="OSRRefD16x_0" localSheetId="52">'311'!$D$20:$D$29</definedName>
    <definedName name="OSRRefD16x_0" localSheetId="57">'315'!$D$20:$D$38</definedName>
    <definedName name="OSRRefD16x_0" localSheetId="60">'316'!$D$20:$D$21</definedName>
    <definedName name="OSRRefD16x_0" localSheetId="62">'317'!$D$20:$D$29</definedName>
    <definedName name="OSRRefD16x_0" localSheetId="65">'321'!$D$17:$D$18</definedName>
    <definedName name="OSRRefD16x_0" localSheetId="53">'324'!$D$17</definedName>
    <definedName name="OSRRefD16x_0" localSheetId="66">'325'!$D$17:$D$19</definedName>
    <definedName name="OSRRefD16x_0" localSheetId="58">'326'!$D$19:$D$22</definedName>
    <definedName name="OSRRefD16x_0" localSheetId="67">'327'!$D$18:$D$20</definedName>
    <definedName name="OSRRefD16x_0" localSheetId="56">'331'!$D$20:$D$38</definedName>
    <definedName name="OSRRefD16x_0" localSheetId="59">'332'!$D$20:$D$21</definedName>
    <definedName name="OSRRefD16x_0" localSheetId="54">'333'!$D$20:$D$40</definedName>
    <definedName name="OSRRefD16x_0" localSheetId="71">'405'!$D$19:$D$21</definedName>
    <definedName name="OSRRefD16x_0" localSheetId="77">'415'!$D$19:$D$21</definedName>
    <definedName name="OSRRefD16x_0" localSheetId="78">'418'!$D$17:$D$18</definedName>
    <definedName name="OSRRefD16x_0" localSheetId="81">'425'!$D$16</definedName>
    <definedName name="OSRRefD16x_0" localSheetId="84">'433'!$D$19:$D$21</definedName>
    <definedName name="OSRRefD16x_0" localSheetId="85">'435'!$D$17</definedName>
    <definedName name="OSRRefD16x_0" localSheetId="86">'444'!$D$19:$D$21</definedName>
    <definedName name="OSRRefD16x_0" localSheetId="87">'450'!$D$19:$D$21</definedName>
    <definedName name="OSRRefD16x_0" localSheetId="70">'491'!$D$20:$D$22</definedName>
    <definedName name="OSRRefD16x_0" localSheetId="82">'492'!$D$21:$D$23</definedName>
    <definedName name="OSRRefD16x_0" localSheetId="47">'Div 3'!$D$26:$D$54</definedName>
    <definedName name="OSRRefD16x_0" localSheetId="68">'Div 4'!$D$23:$D$25</definedName>
    <definedName name="OSRRefD16x_0" localSheetId="61">'Div 6'!$D$20:$D$29</definedName>
    <definedName name="OSRRefD16x_0" localSheetId="2">Summary!$D$28:$D$62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5">'307'!$D$34:$D$42</definedName>
    <definedName name="OSRRefD22_0x_0" localSheetId="51">'308'!$D$35:$D$44</definedName>
    <definedName name="OSRRefD22_0x_0" localSheetId="64">'309'!$D$26:$D$27</definedName>
    <definedName name="OSRRefD22_0x_0" localSheetId="63">'310'!$D$29:$D$38</definedName>
    <definedName name="OSRRefD22_0x_0" localSheetId="69">'310 &amp; 491'!$D$29:$D$38</definedName>
    <definedName name="OSRRefD22_0x_0" localSheetId="52">'311'!$D$35:$D$44</definedName>
    <definedName name="OSRRefD22_0x_0" localSheetId="57">'315'!$D$44:$D$52</definedName>
    <definedName name="OSRRefD22_0x_0" localSheetId="60">'316'!$D$27:$D$35</definedName>
    <definedName name="OSRRefD22_0x_0" localSheetId="62">'317'!$D$35:$D$44</definedName>
    <definedName name="OSRRefD22_0x_0" localSheetId="65">'321'!$D$24:$D$33</definedName>
    <definedName name="OSRRefD22_0x_0" localSheetId="66">'325'!$D$25:$D$33</definedName>
    <definedName name="OSRRefD22_0x_0" localSheetId="58">'326'!$D$28:$D$36</definedName>
    <definedName name="OSRRefD22_0x_0" localSheetId="67">'327'!$D$26</definedName>
    <definedName name="OSRRefD22_0x_0" localSheetId="56">'331'!$D$44:$D$52</definedName>
    <definedName name="OSRRefD22_0x_0" localSheetId="59">'332'!$D$27:$D$35</definedName>
    <definedName name="OSRRefD22_0x_0" localSheetId="54">'333'!$D$46:$D$54</definedName>
    <definedName name="OSRRefD22_0x_0" localSheetId="71">'405'!$D$27:$D$35</definedName>
    <definedName name="OSRRefD22_0x_0" localSheetId="72">'406'!$D$20</definedName>
    <definedName name="OSRRefD22_0x_0" localSheetId="73">'411'!$D$20:$D$28</definedName>
    <definedName name="OSRRefD22_0x_0" localSheetId="74">'412'!$D$20</definedName>
    <definedName name="OSRRefD22_0x_0" localSheetId="75">'413'!$D$20</definedName>
    <definedName name="OSRRefD22_0x_0" localSheetId="76">'414'!$D$20</definedName>
    <definedName name="OSRRefD22_0x_0" localSheetId="77">'415'!$D$27:$D$36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'425'!$D$22</definedName>
    <definedName name="OSRRefD22_0x_0" localSheetId="83">'430'!$D$20:$D$28</definedName>
    <definedName name="OSRRefD22_0x_0" localSheetId="84">'433'!$D$27:$D$36</definedName>
    <definedName name="OSRRefD22_0x_0" localSheetId="85">'435'!$D$23:$D$24</definedName>
    <definedName name="OSRRefD22_0x_0" localSheetId="86">'444'!$D$27:$D$36</definedName>
    <definedName name="OSRRefD22_0x_0" localSheetId="87">'450'!$D$27:$D$36</definedName>
    <definedName name="OSRRefD22_0x_0" localSheetId="70">'491'!$D$28:$D$37</definedName>
    <definedName name="OSRRefD22_0x_0" localSheetId="82">'492'!$D$29:$D$38</definedName>
    <definedName name="OSRRefD22_0x_0" localSheetId="89">'501'!$D$21:$D$30</definedName>
    <definedName name="OSRRefD22_0x_0" localSheetId="39">'Div 2'!$D$20:$D$30</definedName>
    <definedName name="OSRRefD22_0x_0" localSheetId="47">'Div 3'!$D$60:$D$69</definedName>
    <definedName name="OSRRefD22_0x_0" localSheetId="68">'Div 4'!$D$31:$D$40</definedName>
    <definedName name="OSRRefD22_0x_0" localSheetId="88">'Div 5'!$D$21:$D$30</definedName>
    <definedName name="OSRRefD22_0x_0" localSheetId="61">'Div 6'!$D$35:$D$44</definedName>
    <definedName name="OSRRefD22_0x_0" localSheetId="2">Summary!$D$68:$D$77</definedName>
    <definedName name="OSRRefD22_10x_0" localSheetId="41">'201'!$D$59:$D$60</definedName>
    <definedName name="OSRRefD22_10x_0" localSheetId="42">'202'!$D$60</definedName>
    <definedName name="OSRRefD22_10x_0" localSheetId="43">'203'!$D$61:$D$62</definedName>
    <definedName name="OSRRefD22_10x_0" localSheetId="44">'204'!$D$64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5">'307'!$D$73:$D$74</definedName>
    <definedName name="OSRRefD22_10x_0" localSheetId="51">'308'!$D$76:$D$77</definedName>
    <definedName name="OSRRefD22_10x_0" localSheetId="64">'309'!$D$50:$D$51</definedName>
    <definedName name="OSRRefD22_10x_0" localSheetId="63">'310'!$D$68</definedName>
    <definedName name="OSRRefD22_10x_0" localSheetId="69">'310 &amp; 491'!$D$69</definedName>
    <definedName name="OSRRefD22_10x_0" localSheetId="52">'311'!$D$76:$D$77</definedName>
    <definedName name="OSRRefD22_10x_0" localSheetId="57">'315'!$D$82</definedName>
    <definedName name="OSRRefD22_10x_0" localSheetId="60">'316'!$D$67:$D$71</definedName>
    <definedName name="OSRRefD22_10x_0" localSheetId="62">'317'!$D$74</definedName>
    <definedName name="OSRRefD22_10x_0" localSheetId="65">'321'!$D$66:$D$69</definedName>
    <definedName name="OSRRefD22_10x_0" localSheetId="66">'325'!$D$63</definedName>
    <definedName name="OSRRefD22_10x_0" localSheetId="58">'326'!$D$66</definedName>
    <definedName name="OSRRefD22_10x_0" localSheetId="56">'331'!$D$83</definedName>
    <definedName name="OSRRefD22_10x_0" localSheetId="59">'332'!$D$67:$D$71</definedName>
    <definedName name="OSRRefD22_10x_0" localSheetId="54">'333'!$D$86</definedName>
    <definedName name="OSRRefD22_10x_0" localSheetId="71">'405'!$D$66:$D$69</definedName>
    <definedName name="OSRRefD22_10x_0" localSheetId="73">'411'!$D$61:$D$63</definedName>
    <definedName name="OSRRefD22_10x_0" localSheetId="77">'415'!$D$66</definedName>
    <definedName name="OSRRefD22_10x_0" localSheetId="78">'418'!$D$67</definedName>
    <definedName name="OSRRefD22_10x_0" localSheetId="84">'433'!$D$65</definedName>
    <definedName name="OSRRefD22_10x_0" localSheetId="86">'444'!$D$65</definedName>
    <definedName name="OSRRefD22_10x_0" localSheetId="87">'450'!$D$65</definedName>
    <definedName name="OSRRefD22_10x_0" localSheetId="70">'491'!$D$68</definedName>
    <definedName name="OSRRefD22_10x_0" localSheetId="82">'492'!$D$67</definedName>
    <definedName name="OSRRefD22_10x_0" localSheetId="89">'501'!$D$62</definedName>
    <definedName name="OSRRefD22_10x_0" localSheetId="39">'Div 2'!$D$60</definedName>
    <definedName name="OSRRefD22_10x_0" localSheetId="47">'Div 3'!$D$100:$D$101</definedName>
    <definedName name="OSRRefD22_10x_0" localSheetId="68">'Div 4'!$D$71</definedName>
    <definedName name="OSRRefD22_10x_0" localSheetId="88">'Div 5'!$D$62</definedName>
    <definedName name="OSRRefD22_10x_0" localSheetId="61">'Div 6'!$D$74</definedName>
    <definedName name="OSRRefD22_10x_0" localSheetId="2">Summary!$D$108:$D$109</definedName>
    <definedName name="OSRRefD22_11x_0" localSheetId="41">'201'!$D$62</definedName>
    <definedName name="OSRRefD22_11x_0" localSheetId="42">'202'!$D$62</definedName>
    <definedName name="OSRRefD22_11x_0" localSheetId="43">'203'!$D$64:$D$67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5">'307'!$D$76</definedName>
    <definedName name="OSRRefD22_11x_0" localSheetId="51">'308'!$D$79:$D$80</definedName>
    <definedName name="OSRRefD22_11x_0" localSheetId="64">'309'!$D$53</definedName>
    <definedName name="OSRRefD22_11x_0" localSheetId="63">'310'!$D$70:$D$72</definedName>
    <definedName name="OSRRefD22_11x_0" localSheetId="69">'310 &amp; 491'!$D$71</definedName>
    <definedName name="OSRRefD22_11x_0" localSheetId="52">'311'!$D$79:$D$80</definedName>
    <definedName name="OSRRefD22_11x_0" localSheetId="57">'315'!$D$84</definedName>
    <definedName name="OSRRefD22_11x_0" localSheetId="60">'316'!$D$73</definedName>
    <definedName name="OSRRefD22_11x_0" localSheetId="65">'321'!$D$71</definedName>
    <definedName name="OSRRefD22_11x_0" localSheetId="66">'325'!$D$65:$D$67</definedName>
    <definedName name="OSRRefD22_11x_0" localSheetId="58">'326'!$D$68:$D$69</definedName>
    <definedName name="OSRRefD22_11x_0" localSheetId="56">'331'!$D$85</definedName>
    <definedName name="OSRRefD22_11x_0" localSheetId="59">'332'!$D$73</definedName>
    <definedName name="OSRRefD22_11x_0" localSheetId="54">'333'!$D$88</definedName>
    <definedName name="OSRRefD22_11x_0" localSheetId="71">'405'!$D$71</definedName>
    <definedName name="OSRRefD22_11x_0" localSheetId="73">'411'!$D$65</definedName>
    <definedName name="OSRRefD22_11x_0" localSheetId="77">'415'!$D$68:$D$69</definedName>
    <definedName name="OSRRefD22_11x_0" localSheetId="78">'418'!$D$69:$D$77</definedName>
    <definedName name="OSRRefD22_11x_0" localSheetId="84">'433'!$D$67:$D$69</definedName>
    <definedName name="OSRRefD22_11x_0" localSheetId="86">'444'!$D$67:$D$68</definedName>
    <definedName name="OSRRefD22_11x_0" localSheetId="87">'450'!$D$67:$D$69</definedName>
    <definedName name="OSRRefD22_11x_0" localSheetId="70">'491'!$D$70</definedName>
    <definedName name="OSRRefD22_11x_0" localSheetId="82">'492'!$D$69</definedName>
    <definedName name="OSRRefD22_11x_0" localSheetId="89">'501'!$D$64:$D$66</definedName>
    <definedName name="OSRRefD22_11x_0" localSheetId="39">'Div 2'!$D$62</definedName>
    <definedName name="OSRRefD22_11x_0" localSheetId="47">'Div 3'!$D$103:$D$104</definedName>
    <definedName name="OSRRefD22_11x_0" localSheetId="68">'Div 4'!$D$73</definedName>
    <definedName name="OSRRefD22_11x_0" localSheetId="88">'Div 5'!$D$64:$D$66</definedName>
    <definedName name="OSRRefD22_11x_0" localSheetId="2">Summary!$D$111:$D$113</definedName>
    <definedName name="OSRRefD22_12x_0" localSheetId="41">'201'!$D$64:$D$65</definedName>
    <definedName name="OSRRefD22_12x_0" localSheetId="42">'202'!$D$64</definedName>
    <definedName name="OSRRefD22_12x_0" localSheetId="43">'203'!$D$69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5">'307'!$D$78:$D$81</definedName>
    <definedName name="OSRRefD22_12x_0" localSheetId="51">'308'!$D$82:$D$83</definedName>
    <definedName name="OSRRefD22_12x_0" localSheetId="64">'309'!$D$55</definedName>
    <definedName name="OSRRefD22_12x_0" localSheetId="63">'310'!$D$74:$D$75</definedName>
    <definedName name="OSRRefD22_12x_0" localSheetId="69">'310 &amp; 491'!$D$73</definedName>
    <definedName name="OSRRefD22_12x_0" localSheetId="52">'311'!$D$82:$D$83</definedName>
    <definedName name="OSRRefD22_12x_0" localSheetId="57">'315'!$D$86:$D$87</definedName>
    <definedName name="OSRRefD22_12x_0" localSheetId="65">'321'!$D$73</definedName>
    <definedName name="OSRRefD22_12x_0" localSheetId="66">'325'!$D$69:$D$71</definedName>
    <definedName name="OSRRefD22_12x_0" localSheetId="58">'326'!$D$71:$D$72</definedName>
    <definedName name="OSRRefD22_12x_0" localSheetId="56">'331'!$D$87</definedName>
    <definedName name="OSRRefD22_12x_0" localSheetId="54">'333'!$D$90</definedName>
    <definedName name="OSRRefD22_12x_0" localSheetId="71">'405'!$D$73:$D$81</definedName>
    <definedName name="OSRRefD22_12x_0" localSheetId="73">'411'!$D$67:$D$68</definedName>
    <definedName name="OSRRefD22_12x_0" localSheetId="77">'415'!$D$71:$D$74</definedName>
    <definedName name="OSRRefD22_12x_0" localSheetId="78">'418'!$D$79:$D$80</definedName>
    <definedName name="OSRRefD22_12x_0" localSheetId="84">'433'!$D$71:$D$74</definedName>
    <definedName name="OSRRefD22_12x_0" localSheetId="86">'444'!$D$70:$D$73</definedName>
    <definedName name="OSRRefD22_12x_0" localSheetId="87">'450'!$D$71:$D$74</definedName>
    <definedName name="OSRRefD22_12x_0" localSheetId="70">'491'!$D$72</definedName>
    <definedName name="OSRRefD22_12x_0" localSheetId="82">'492'!$D$71:$D$73</definedName>
    <definedName name="OSRRefD22_12x_0" localSheetId="89">'501'!$D$68</definedName>
    <definedName name="OSRRefD22_12x_0" localSheetId="39">'Div 2'!$D$64:$D$67</definedName>
    <definedName name="OSRRefD22_12x_0" localSheetId="47">'Div 3'!$D$106</definedName>
    <definedName name="OSRRefD22_12x_0" localSheetId="68">'Div 4'!$D$75</definedName>
    <definedName name="OSRRefD22_12x_0" localSheetId="88">'Div 5'!$D$68</definedName>
    <definedName name="OSRRefD22_12x_0" localSheetId="2">Summary!$D$115</definedName>
    <definedName name="OSRRefD22_13x_0" localSheetId="41">'201'!$D$67</definedName>
    <definedName name="OSRRefD22_13x_0" localSheetId="43">'203'!$D$71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55">'307'!$D$83</definedName>
    <definedName name="OSRRefD22_13x_0" localSheetId="51">'308'!$D$85</definedName>
    <definedName name="OSRRefD22_13x_0" localSheetId="63">'310'!$D$77:$D$79</definedName>
    <definedName name="OSRRefD22_13x_0" localSheetId="69">'310 &amp; 491'!$D$75:$D$78</definedName>
    <definedName name="OSRRefD22_13x_0" localSheetId="52">'311'!$D$85</definedName>
    <definedName name="OSRRefD22_13x_0" localSheetId="57">'315'!$D$89:$D$91</definedName>
    <definedName name="OSRRefD22_13x_0" localSheetId="66">'325'!$D$73:$D$78</definedName>
    <definedName name="OSRRefD22_13x_0" localSheetId="58">'326'!$D$74:$D$75</definedName>
    <definedName name="OSRRefD22_13x_0" localSheetId="56">'331'!$D$89</definedName>
    <definedName name="OSRRefD22_13x_0" localSheetId="54">'333'!$D$92</definedName>
    <definedName name="OSRRefD22_13x_0" localSheetId="71">'405'!$D$83</definedName>
    <definedName name="OSRRefD22_13x_0" localSheetId="73">'411'!$D$70</definedName>
    <definedName name="OSRRefD22_13x_0" localSheetId="77">'415'!$D$76</definedName>
    <definedName name="OSRRefD22_13x_0" localSheetId="78">'418'!$D$82</definedName>
    <definedName name="OSRRefD22_13x_0" localSheetId="84">'433'!$D$76:$D$83</definedName>
    <definedName name="OSRRefD22_13x_0" localSheetId="86">'444'!$D$75</definedName>
    <definedName name="OSRRefD22_13x_0" localSheetId="87">'450'!$D$76:$D$82</definedName>
    <definedName name="OSRRefD22_13x_0" localSheetId="70">'491'!$D$74:$D$77</definedName>
    <definedName name="OSRRefD22_13x_0" localSheetId="82">'492'!$D$75:$D$78</definedName>
    <definedName name="OSRRefD22_13x_0" localSheetId="89">'501'!$D$70</definedName>
    <definedName name="OSRRefD22_13x_0" localSheetId="39">'Div 2'!$D$69:$D$72</definedName>
    <definedName name="OSRRefD22_13x_0" localSheetId="47">'Div 3'!$D$108</definedName>
    <definedName name="OSRRefD22_13x_0" localSheetId="68">'Div 4'!$D$77</definedName>
    <definedName name="OSRRefD22_13x_0" localSheetId="88">'Div 5'!$D$70</definedName>
    <definedName name="OSRRefD22_13x_0" localSheetId="2">Summary!$D$117</definedName>
    <definedName name="OSRRefD22_14x_0" localSheetId="41">'201'!$D$69</definedName>
    <definedName name="OSRRefD22_14x_0" localSheetId="43">'203'!$D$73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3">'310'!$D$81:$D$86</definedName>
    <definedName name="OSRRefD22_14x_0" localSheetId="69">'310 &amp; 491'!$D$80:$D$81</definedName>
    <definedName name="OSRRefD22_14x_0" localSheetId="57">'315'!$D$93:$D$94</definedName>
    <definedName name="OSRRefD22_14x_0" localSheetId="66">'325'!$D$80:$D$81</definedName>
    <definedName name="OSRRefD22_14x_0" localSheetId="58">'326'!$D$77:$D$79</definedName>
    <definedName name="OSRRefD22_14x_0" localSheetId="56">'331'!$D$91:$D$92</definedName>
    <definedName name="OSRRefD22_14x_0" localSheetId="54">'333'!$D$94:$D$95</definedName>
    <definedName name="OSRRefD22_14x_0" localSheetId="71">'405'!$D$85</definedName>
    <definedName name="OSRRefD22_14x_0" localSheetId="73">'411'!$D$72</definedName>
    <definedName name="OSRRefD22_14x_0" localSheetId="77">'415'!$D$78:$D$85</definedName>
    <definedName name="OSRRefD22_14x_0" localSheetId="78">'418'!$D$84</definedName>
    <definedName name="OSRRefD22_14x_0" localSheetId="84">'433'!$D$85</definedName>
    <definedName name="OSRRefD22_14x_0" localSheetId="86">'444'!$D$77:$D$85</definedName>
    <definedName name="OSRRefD22_14x_0" localSheetId="87">'450'!$D$84</definedName>
    <definedName name="OSRRefD22_14x_0" localSheetId="70">'491'!$D$79</definedName>
    <definedName name="OSRRefD22_14x_0" localSheetId="82">'492'!$D$80</definedName>
    <definedName name="OSRRefD22_14x_0" localSheetId="39">'Div 2'!$D$74:$D$75</definedName>
    <definedName name="OSRRefD22_14x_0" localSheetId="47">'Div 3'!$D$110</definedName>
    <definedName name="OSRRefD22_14x_0" localSheetId="68">'Div 4'!$D$79</definedName>
    <definedName name="OSRRefD22_14x_0" localSheetId="2">Summary!$D$119</definedName>
    <definedName name="OSRRefD22_15x_0" localSheetId="41">'201'!$D$71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3">'310'!$D$88:$D$89</definedName>
    <definedName name="OSRRefD22_15x_0" localSheetId="69">'310 &amp; 491'!$D$83:$D$87</definedName>
    <definedName name="OSRRefD22_15x_0" localSheetId="57">'315'!$D$96:$D$99</definedName>
    <definedName name="OSRRefD22_15x_0" localSheetId="66">'325'!$D$83</definedName>
    <definedName name="OSRRefD22_15x_0" localSheetId="58">'326'!$D$81</definedName>
    <definedName name="OSRRefD22_15x_0" localSheetId="56">'331'!$D$94:$D$96</definedName>
    <definedName name="OSRRefD22_15x_0" localSheetId="54">'333'!$D$97:$D$99</definedName>
    <definedName name="OSRRefD22_15x_0" localSheetId="71">'405'!$D$87</definedName>
    <definedName name="OSRRefD22_15x_0" localSheetId="73">'411'!$D$74:$D$75</definedName>
    <definedName name="OSRRefD22_15x_0" localSheetId="77">'415'!$D$87:$D$88</definedName>
    <definedName name="OSRRefD22_15x_0" localSheetId="78">'418'!$D$86</definedName>
    <definedName name="OSRRefD22_15x_0" localSheetId="84">'433'!$D$87</definedName>
    <definedName name="OSRRefD22_15x_0" localSheetId="86">'444'!$D$87</definedName>
    <definedName name="OSRRefD22_15x_0" localSheetId="87">'450'!$D$86</definedName>
    <definedName name="OSRRefD22_15x_0" localSheetId="70">'491'!$D$81:$D$85</definedName>
    <definedName name="OSRRefD22_15x_0" localSheetId="82">'492'!$D$82:$D$90</definedName>
    <definedName name="OSRRefD22_15x_0" localSheetId="39">'Div 2'!$D$77:$D$78</definedName>
    <definedName name="OSRRefD22_15x_0" localSheetId="47">'Div 3'!$D$112</definedName>
    <definedName name="OSRRefD22_15x_0" localSheetId="68">'Div 4'!$D$81:$D$84</definedName>
    <definedName name="OSRRefD22_15x_0" localSheetId="2">Summary!$D$121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3">'310'!$D$91</definedName>
    <definedName name="OSRRefD22_16x_0" localSheetId="69">'310 &amp; 491'!$D$89</definedName>
    <definedName name="OSRRefD22_16x_0" localSheetId="57">'315'!$D$101</definedName>
    <definedName name="OSRRefD22_16x_0" localSheetId="66">'325'!$D$85</definedName>
    <definedName name="OSRRefD22_16x_0" localSheetId="58">'326'!$D$83:$D$84</definedName>
    <definedName name="OSRRefD22_16x_0" localSheetId="56">'331'!$D$98:$D$99</definedName>
    <definedName name="OSRRefD22_16x_0" localSheetId="54">'333'!$D$101:$D$103</definedName>
    <definedName name="OSRRefD22_16x_0" localSheetId="71">'405'!$D$89</definedName>
    <definedName name="OSRRefD22_16x_0" localSheetId="73">'411'!$D$77</definedName>
    <definedName name="OSRRefD22_16x_0" localSheetId="77">'415'!$D$90</definedName>
    <definedName name="OSRRefD22_16x_0" localSheetId="86">'444'!$D$89</definedName>
    <definedName name="OSRRefD22_16x_0" localSheetId="87">'450'!$D$88</definedName>
    <definedName name="OSRRefD22_16x_0" localSheetId="70">'491'!$D$87</definedName>
    <definedName name="OSRRefD22_16x_0" localSheetId="82">'492'!$D$92:$D$93</definedName>
    <definedName name="OSRRefD22_16x_0" localSheetId="39">'Div 2'!$D$80:$D$85</definedName>
    <definedName name="OSRRefD22_16x_0" localSheetId="47">'Div 3'!$D$114</definedName>
    <definedName name="OSRRefD22_16x_0" localSheetId="68">'Div 4'!$D$86</definedName>
    <definedName name="OSRRefD22_16x_0" localSheetId="2">Summary!$D$123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63">'310'!$D$93</definedName>
    <definedName name="OSRRefD22_17x_0" localSheetId="69">'310 &amp; 491'!$D$91:$D$100</definedName>
    <definedName name="OSRRefD22_17x_0" localSheetId="57">'315'!$D$103</definedName>
    <definedName name="OSRRefD22_17x_0" localSheetId="58">'326'!$D$86</definedName>
    <definedName name="OSRRefD22_17x_0" localSheetId="56">'331'!$D$101:$D$102</definedName>
    <definedName name="OSRRefD22_17x_0" localSheetId="54">'333'!$D$105:$D$106</definedName>
    <definedName name="OSRRefD22_17x_0" localSheetId="77">'415'!$D$92</definedName>
    <definedName name="OSRRefD22_17x_0" localSheetId="70">'491'!$D$89:$D$98</definedName>
    <definedName name="OSRRefD22_17x_0" localSheetId="82">'492'!$D$95</definedName>
    <definedName name="OSRRefD22_17x_0" localSheetId="39">'Div 2'!$D$87:$D$88</definedName>
    <definedName name="OSRRefD22_17x_0" localSheetId="47">'Div 3'!$D$116:$D$119</definedName>
    <definedName name="OSRRefD22_17x_0" localSheetId="68">'Div 4'!$D$88:$D$92</definedName>
    <definedName name="OSRRefD22_17x_0" localSheetId="2">Summary!$D$125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69">'310 &amp; 491'!$D$102:$D$103</definedName>
    <definedName name="OSRRefD22_18x_0" localSheetId="57">'315'!$D$105</definedName>
    <definedName name="OSRRefD22_18x_0" localSheetId="56">'331'!$D$104:$D$108</definedName>
    <definedName name="OSRRefD22_18x_0" localSheetId="54">'333'!$D$108:$D$113</definedName>
    <definedName name="OSRRefD22_18x_0" localSheetId="70">'491'!$D$100:$D$101</definedName>
    <definedName name="OSRRefD22_18x_0" localSheetId="82">'492'!$D$97:$D$98</definedName>
    <definedName name="OSRRefD22_18x_0" localSheetId="39">'Div 2'!$D$90</definedName>
    <definedName name="OSRRefD22_18x_0" localSheetId="47">'Div 3'!$D$121:$D$124</definedName>
    <definedName name="OSRRefD22_18x_0" localSheetId="68">'Div 4'!$D$94:$D$95</definedName>
    <definedName name="OSRRefD22_18x_0" localSheetId="2">Summary!$D$127:$D$130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69">'310 &amp; 491'!$D$105</definedName>
    <definedName name="OSRRefD22_19x_0" localSheetId="56">'331'!$D$110</definedName>
    <definedName name="OSRRefD22_19x_0" localSheetId="54">'333'!$D$115</definedName>
    <definedName name="OSRRefD22_19x_0" localSheetId="70">'491'!$D$103</definedName>
    <definedName name="OSRRefD22_19x_0" localSheetId="39">'Div 2'!$D$92:$D$93</definedName>
    <definedName name="OSRRefD22_19x_0" localSheetId="47">'Div 3'!$D$126:$D$129</definedName>
    <definedName name="OSRRefD22_19x_0" localSheetId="68">'Div 4'!$D$97:$D$106</definedName>
    <definedName name="OSRRefD22_19x_0" localSheetId="2">Summary!$D$132:$D$135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5">'307'!$D$44:$D$53</definedName>
    <definedName name="OSRRefD22_1x_0" localSheetId="51">'308'!$D$46:$D$55</definedName>
    <definedName name="OSRRefD22_1x_0" localSheetId="64">'309'!$D$29:$D$30</definedName>
    <definedName name="OSRRefD22_1x_0" localSheetId="63">'310'!$D$40:$D$49</definedName>
    <definedName name="OSRRefD22_1x_0" localSheetId="69">'310 &amp; 491'!$D$40:$D$49</definedName>
    <definedName name="OSRRefD22_1x_0" localSheetId="52">'311'!$D$46:$D$55</definedName>
    <definedName name="OSRRefD22_1x_0" localSheetId="57">'315'!$D$54:$D$63</definedName>
    <definedName name="OSRRefD22_1x_0" localSheetId="60">'316'!$D$37:$D$46</definedName>
    <definedName name="OSRRefD22_1x_0" localSheetId="62">'317'!$D$46:$D$55</definedName>
    <definedName name="OSRRefD22_1x_0" localSheetId="65">'321'!$D$35:$D$44</definedName>
    <definedName name="OSRRefD22_1x_0" localSheetId="66">'325'!$D$35:$D$44</definedName>
    <definedName name="OSRRefD22_1x_0" localSheetId="58">'326'!$D$38:$D$47</definedName>
    <definedName name="OSRRefD22_1x_0" localSheetId="67">'327'!$D$28</definedName>
    <definedName name="OSRRefD22_1x_0" localSheetId="56">'331'!$D$54:$D$63</definedName>
    <definedName name="OSRRefD22_1x_0" localSheetId="59">'332'!$D$37:$D$46</definedName>
    <definedName name="OSRRefD22_1x_0" localSheetId="54">'333'!$D$56:$D$65</definedName>
    <definedName name="OSRRefD22_1x_0" localSheetId="71">'405'!$D$37:$D$46</definedName>
    <definedName name="OSRRefD22_1x_0" localSheetId="72">'406'!$D$22</definedName>
    <definedName name="OSRRefD22_1x_0" localSheetId="73">'411'!$D$30:$D$39</definedName>
    <definedName name="OSRRefD22_1x_0" localSheetId="74">'412'!$D$22</definedName>
    <definedName name="OSRRefD22_1x_0" localSheetId="75">'413'!$D$22</definedName>
    <definedName name="OSRRefD22_1x_0" localSheetId="76">'414'!$D$22</definedName>
    <definedName name="OSRRefD22_1x_0" localSheetId="77">'415'!$D$38:$D$47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'425'!$D$24</definedName>
    <definedName name="OSRRefD22_1x_0" localSheetId="83">'430'!$D$30:$D$39</definedName>
    <definedName name="OSRRefD22_1x_0" localSheetId="84">'433'!$D$38:$D$47</definedName>
    <definedName name="OSRRefD22_1x_0" localSheetId="85">'435'!$D$26</definedName>
    <definedName name="OSRRefD22_1x_0" localSheetId="86">'444'!$D$38:$D$47</definedName>
    <definedName name="OSRRefD22_1x_0" localSheetId="87">'450'!$D$38:$D$47</definedName>
    <definedName name="OSRRefD22_1x_0" localSheetId="70">'491'!$D$39:$D$48</definedName>
    <definedName name="OSRRefD22_1x_0" localSheetId="82">'492'!$D$40:$D$49</definedName>
    <definedName name="OSRRefD22_1x_0" localSheetId="89">'501'!$D$32:$D$41</definedName>
    <definedName name="OSRRefD22_1x_0" localSheetId="39">'Div 2'!$D$32:$D$41</definedName>
    <definedName name="OSRRefD22_1x_0" localSheetId="47">'Div 3'!$D$71:$D$80</definedName>
    <definedName name="OSRRefD22_1x_0" localSheetId="68">'Div 4'!$D$42:$D$51</definedName>
    <definedName name="OSRRefD22_1x_0" localSheetId="88">'Div 5'!$D$32:$D$41</definedName>
    <definedName name="OSRRefD22_1x_0" localSheetId="61">'Div 6'!$D$46:$D$55</definedName>
    <definedName name="OSRRefD22_1x_0" localSheetId="2">Summary!$D$79:$D$88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69">'310 &amp; 491'!$D$107:$D$108</definedName>
    <definedName name="OSRRefD22_20x_0" localSheetId="56">'331'!$D$112</definedName>
    <definedName name="OSRRefD22_20x_0" localSheetId="54">'333'!$D$117</definedName>
    <definedName name="OSRRefD22_20x_0" localSheetId="70">'491'!$D$105:$D$106</definedName>
    <definedName name="OSRRefD22_20x_0" localSheetId="47">'Div 3'!$D$131:$D$132</definedName>
    <definedName name="OSRRefD22_20x_0" localSheetId="68">'Div 4'!$D$108:$D$109</definedName>
    <definedName name="OSRRefD22_20x_0" localSheetId="2">Summary!$D$137:$D$141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'301'!$D$92:$D$94</definedName>
    <definedName name="OSRRefD22_21x_0" localSheetId="69">'310 &amp; 491'!$D$110</definedName>
    <definedName name="OSRRefD22_21x_0" localSheetId="56">'331'!$D$114:$D$115</definedName>
    <definedName name="OSRRefD22_21x_0" localSheetId="54">'333'!$D$119:$D$120</definedName>
    <definedName name="OSRRefD22_21x_0" localSheetId="70">'491'!$D$108</definedName>
    <definedName name="OSRRefD22_21x_0" localSheetId="47">'Div 3'!$D$134:$D$140</definedName>
    <definedName name="OSRRefD22_21x_0" localSheetId="68">'Div 4'!$D$111</definedName>
    <definedName name="OSRRefD22_21x_0" localSheetId="2">Summary!$D$143:$D$144</definedName>
    <definedName name="OSRRefD22_22x_0" localSheetId="48">'300'!$D$136</definedName>
    <definedName name="OSRRefD22_22x_0" localSheetId="49">'300 &amp; 317'!$D$142</definedName>
    <definedName name="OSRRefD22_22x_0" localSheetId="50">'301'!$D$96</definedName>
    <definedName name="OSRRefD22_22x_0" localSheetId="56">'331'!$D$117</definedName>
    <definedName name="OSRRefD22_22x_0" localSheetId="54">'333'!$D$122</definedName>
    <definedName name="OSRRefD22_22x_0" localSheetId="47">'Div 3'!$D$142:$D$143</definedName>
    <definedName name="OSRRefD22_22x_0" localSheetId="68">'Div 4'!$D$113:$D$114</definedName>
    <definedName name="OSRRefD22_22x_0" localSheetId="2">Summary!$D$146:$D$155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3'!$D$145</definedName>
    <definedName name="OSRRefD22_23x_0" localSheetId="68">'Div 4'!$D$116</definedName>
    <definedName name="OSRRefD22_23x_0" localSheetId="2">Summary!$D$157:$D$158</definedName>
    <definedName name="OSRRefD22_24x_0" localSheetId="48">'300'!$D$142</definedName>
    <definedName name="OSRRefD22_24x_0" localSheetId="49">'300 &amp; 317'!$D$148</definedName>
    <definedName name="OSRRefD22_24x_0" localSheetId="47">'Div 3'!$D$147:$D$149</definedName>
    <definedName name="OSRRefD22_24x_0" localSheetId="2">Summary!$D$160</definedName>
    <definedName name="OSRRefD22_25x_0" localSheetId="47">'Div 3'!$D$151</definedName>
    <definedName name="OSRRefD22_25x_0" localSheetId="2">Summary!$D$162:$D$164</definedName>
    <definedName name="OSRRefD22_26x_0" localSheetId="2">Summary!$D$166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5">'307'!$D$55</definedName>
    <definedName name="OSRRefD22_2x_0" localSheetId="51">'308'!$D$57</definedName>
    <definedName name="OSRRefD22_2x_0" localSheetId="64">'309'!$D$32</definedName>
    <definedName name="OSRRefD22_2x_0" localSheetId="63">'310'!$D$51</definedName>
    <definedName name="OSRRefD22_2x_0" localSheetId="69">'310 &amp; 491'!$D$51</definedName>
    <definedName name="OSRRefD22_2x_0" localSheetId="52">'311'!$D$57</definedName>
    <definedName name="OSRRefD22_2x_0" localSheetId="57">'315'!$D$65</definedName>
    <definedName name="OSRRefD22_2x_0" localSheetId="60">'316'!$D$48</definedName>
    <definedName name="OSRRefD22_2x_0" localSheetId="62">'317'!$D$57</definedName>
    <definedName name="OSRRefD22_2x_0" localSheetId="65">'321'!$D$46</definedName>
    <definedName name="OSRRefD22_2x_0" localSheetId="66">'325'!$D$46</definedName>
    <definedName name="OSRRefD22_2x_0" localSheetId="58">'326'!$D$49</definedName>
    <definedName name="OSRRefD22_2x_0" localSheetId="56">'331'!$D$65</definedName>
    <definedName name="OSRRefD22_2x_0" localSheetId="59">'332'!$D$48</definedName>
    <definedName name="OSRRefD22_2x_0" localSheetId="54">'333'!$D$67</definedName>
    <definedName name="OSRRefD22_2x_0" localSheetId="71">'405'!$D$48</definedName>
    <definedName name="OSRRefD22_2x_0" localSheetId="73">'411'!$D$41</definedName>
    <definedName name="OSRRefD22_2x_0" localSheetId="74">'412'!$D$24</definedName>
    <definedName name="OSRRefD22_2x_0" localSheetId="75">'413'!$D$24</definedName>
    <definedName name="OSRRefD22_2x_0" localSheetId="76">'414'!$D$24</definedName>
    <definedName name="OSRRefD22_2x_0" localSheetId="77">'415'!$D$49</definedName>
    <definedName name="OSRRefD22_2x_0" localSheetId="78">'418'!$D$45</definedName>
    <definedName name="OSRRefD22_2x_0" localSheetId="79">'423'!$D$40</definedName>
    <definedName name="OSRRefD22_2x_0" localSheetId="80">'424'!$D$24</definedName>
    <definedName name="OSRRefD22_2x_0" localSheetId="81">'425'!$D$26</definedName>
    <definedName name="OSRRefD22_2x_0" localSheetId="83">'430'!$D$41</definedName>
    <definedName name="OSRRefD22_2x_0" localSheetId="84">'433'!$D$49</definedName>
    <definedName name="OSRRefD22_2x_0" localSheetId="85">'435'!$D$28</definedName>
    <definedName name="OSRRefD22_2x_0" localSheetId="86">'444'!$D$49</definedName>
    <definedName name="OSRRefD22_2x_0" localSheetId="87">'450'!$D$49</definedName>
    <definedName name="OSRRefD22_2x_0" localSheetId="70">'491'!$D$50</definedName>
    <definedName name="OSRRefD22_2x_0" localSheetId="82">'492'!$D$51</definedName>
    <definedName name="OSRRefD22_2x_0" localSheetId="89">'501'!$D$43</definedName>
    <definedName name="OSRRefD22_2x_0" localSheetId="39">'Div 2'!$D$43</definedName>
    <definedName name="OSRRefD22_2x_0" localSheetId="47">'Div 3'!$D$82</definedName>
    <definedName name="OSRRefD22_2x_0" localSheetId="68">'Div 4'!$D$53</definedName>
    <definedName name="OSRRefD22_2x_0" localSheetId="88">'Div 5'!$D$43</definedName>
    <definedName name="OSRRefD22_2x_0" localSheetId="61">'Div 6'!$D$57</definedName>
    <definedName name="OSRRefD22_2x_0" localSheetId="2">Summary!$D$90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5">'307'!$D$57</definedName>
    <definedName name="OSRRefD22_3x_0" localSheetId="51">'308'!$D$59</definedName>
    <definedName name="OSRRefD22_3x_0" localSheetId="64">'309'!$D$34</definedName>
    <definedName name="OSRRefD22_3x_0" localSheetId="63">'310'!$D$53</definedName>
    <definedName name="OSRRefD22_3x_0" localSheetId="69">'310 &amp; 491'!$D$53</definedName>
    <definedName name="OSRRefD22_3x_0" localSheetId="52">'311'!$D$59</definedName>
    <definedName name="OSRRefD22_3x_0" localSheetId="57">'315'!$D$67</definedName>
    <definedName name="OSRRefD22_3x_0" localSheetId="60">'316'!$D$50</definedName>
    <definedName name="OSRRefD22_3x_0" localSheetId="62">'317'!$D$59</definedName>
    <definedName name="OSRRefD22_3x_0" localSheetId="65">'321'!$D$48</definedName>
    <definedName name="OSRRefD22_3x_0" localSheetId="66">'325'!$D$48</definedName>
    <definedName name="OSRRefD22_3x_0" localSheetId="58">'326'!$D$51</definedName>
    <definedName name="OSRRefD22_3x_0" localSheetId="56">'331'!$D$67</definedName>
    <definedName name="OSRRefD22_3x_0" localSheetId="59">'332'!$D$50</definedName>
    <definedName name="OSRRefD22_3x_0" localSheetId="54">'333'!$D$69</definedName>
    <definedName name="OSRRefD22_3x_0" localSheetId="71">'405'!$D$50</definedName>
    <definedName name="OSRRefD22_3x_0" localSheetId="73">'411'!$D$43:$D$44</definedName>
    <definedName name="OSRRefD22_3x_0" localSheetId="74">'412'!$D$26</definedName>
    <definedName name="OSRRefD22_3x_0" localSheetId="77">'415'!$D$51</definedName>
    <definedName name="OSRRefD22_3x_0" localSheetId="78">'418'!$D$47</definedName>
    <definedName name="OSRRefD22_3x_0" localSheetId="79">'423'!$D$42</definedName>
    <definedName name="OSRRefD22_3x_0" localSheetId="81">'425'!$D$28</definedName>
    <definedName name="OSRRefD22_3x_0" localSheetId="83">'430'!$D$43</definedName>
    <definedName name="OSRRefD22_3x_0" localSheetId="84">'433'!$D$51</definedName>
    <definedName name="OSRRefD22_3x_0" localSheetId="85">'435'!$D$30</definedName>
    <definedName name="OSRRefD22_3x_0" localSheetId="86">'444'!$D$51</definedName>
    <definedName name="OSRRefD22_3x_0" localSheetId="87">'450'!$D$51</definedName>
    <definedName name="OSRRefD22_3x_0" localSheetId="70">'491'!$D$52</definedName>
    <definedName name="OSRRefD22_3x_0" localSheetId="82">'492'!$D$53</definedName>
    <definedName name="OSRRefD22_3x_0" localSheetId="89">'501'!$D$45</definedName>
    <definedName name="OSRRefD22_3x_0" localSheetId="39">'Div 2'!$D$45</definedName>
    <definedName name="OSRRefD22_3x_0" localSheetId="47">'Div 3'!$D$84</definedName>
    <definedName name="OSRRefD22_3x_0" localSheetId="68">'Div 4'!$D$55</definedName>
    <definedName name="OSRRefD22_3x_0" localSheetId="88">'Div 5'!$D$45</definedName>
    <definedName name="OSRRefD22_3x_0" localSheetId="61">'Div 6'!$D$59</definedName>
    <definedName name="OSRRefD22_3x_0" localSheetId="2">Summary!$D$92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'204'!$D$47</definedName>
    <definedName name="OSRRefD22_4x_0" localSheetId="45">'205'!$D$45:$D$47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5">'307'!$D$59</definedName>
    <definedName name="OSRRefD22_4x_0" localSheetId="51">'308'!$D$61</definedName>
    <definedName name="OSRRefD22_4x_0" localSheetId="64">'309'!$D$36</definedName>
    <definedName name="OSRRefD22_4x_0" localSheetId="63">'310'!$D$55</definedName>
    <definedName name="OSRRefD22_4x_0" localSheetId="69">'310 &amp; 491'!$D$55</definedName>
    <definedName name="OSRRefD22_4x_0" localSheetId="52">'311'!$D$61</definedName>
    <definedName name="OSRRefD22_4x_0" localSheetId="57">'315'!$D$69</definedName>
    <definedName name="OSRRefD22_4x_0" localSheetId="60">'316'!$D$52</definedName>
    <definedName name="OSRRefD22_4x_0" localSheetId="62">'317'!$D$61</definedName>
    <definedName name="OSRRefD22_4x_0" localSheetId="65">'321'!$D$50</definedName>
    <definedName name="OSRRefD22_4x_0" localSheetId="66">'325'!$D$50</definedName>
    <definedName name="OSRRefD22_4x_0" localSheetId="58">'326'!$D$53</definedName>
    <definedName name="OSRRefD22_4x_0" localSheetId="56">'331'!$D$69</definedName>
    <definedName name="OSRRefD22_4x_0" localSheetId="59">'332'!$D$52</definedName>
    <definedName name="OSRRefD22_4x_0" localSheetId="54">'333'!$D$71</definedName>
    <definedName name="OSRRefD22_4x_0" localSheetId="71">'405'!$D$52</definedName>
    <definedName name="OSRRefD22_4x_0" localSheetId="73">'411'!$D$46</definedName>
    <definedName name="OSRRefD22_4x_0" localSheetId="74">'412'!$D$28</definedName>
    <definedName name="OSRRefD22_4x_0" localSheetId="77">'415'!$D$53</definedName>
    <definedName name="OSRRefD22_4x_0" localSheetId="78">'418'!$D$49:$D$50</definedName>
    <definedName name="OSRRefD22_4x_0" localSheetId="79">'423'!$D$44</definedName>
    <definedName name="OSRRefD22_4x_0" localSheetId="81">'425'!$D$30</definedName>
    <definedName name="OSRRefD22_4x_0" localSheetId="83">'430'!$D$45</definedName>
    <definedName name="OSRRefD22_4x_0" localSheetId="84">'433'!$D$53</definedName>
    <definedName name="OSRRefD22_4x_0" localSheetId="85">'435'!$D$32</definedName>
    <definedName name="OSRRefD22_4x_0" localSheetId="86">'444'!$D$53</definedName>
    <definedName name="OSRRefD22_4x_0" localSheetId="87">'450'!$D$53</definedName>
    <definedName name="OSRRefD22_4x_0" localSheetId="70">'491'!$D$54</definedName>
    <definedName name="OSRRefD22_4x_0" localSheetId="82">'492'!$D$55</definedName>
    <definedName name="OSRRefD22_4x_0" localSheetId="89">'501'!$D$47</definedName>
    <definedName name="OSRRefD22_4x_0" localSheetId="39">'Div 2'!$D$47</definedName>
    <definedName name="OSRRefD22_4x_0" localSheetId="47">'Div 3'!$D$86</definedName>
    <definedName name="OSRRefD22_4x_0" localSheetId="68">'Div 4'!$D$57</definedName>
    <definedName name="OSRRefD22_4x_0" localSheetId="88">'Div 5'!$D$47</definedName>
    <definedName name="OSRRefD22_4x_0" localSheetId="61">'Div 6'!$D$61</definedName>
    <definedName name="OSRRefD22_4x_0" localSheetId="2">Summary!$D$94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'204'!$D$49:$D$52</definedName>
    <definedName name="OSRRefD22_5x_0" localSheetId="45">'205'!$D$49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5">'307'!$D$61:$D$62</definedName>
    <definedName name="OSRRefD22_5x_0" localSheetId="51">'308'!$D$63</definedName>
    <definedName name="OSRRefD22_5x_0" localSheetId="64">'309'!$D$38</definedName>
    <definedName name="OSRRefD22_5x_0" localSheetId="63">'310'!$D$57:$D$58</definedName>
    <definedName name="OSRRefD22_5x_0" localSheetId="69">'310 &amp; 491'!$D$57:$D$58</definedName>
    <definedName name="OSRRefD22_5x_0" localSheetId="52">'311'!$D$63</definedName>
    <definedName name="OSRRefD22_5x_0" localSheetId="57">'315'!$D$71</definedName>
    <definedName name="OSRRefD22_5x_0" localSheetId="60">'316'!$D$54:$D$55</definedName>
    <definedName name="OSRRefD22_5x_0" localSheetId="62">'317'!$D$63</definedName>
    <definedName name="OSRRefD22_5x_0" localSheetId="65">'321'!$D$52</definedName>
    <definedName name="OSRRefD22_5x_0" localSheetId="66">'325'!$D$52:$D$53</definedName>
    <definedName name="OSRRefD22_5x_0" localSheetId="58">'326'!$D$55</definedName>
    <definedName name="OSRRefD22_5x_0" localSheetId="56">'331'!$D$71</definedName>
    <definedName name="OSRRefD22_5x_0" localSheetId="59">'332'!$D$54:$D$55</definedName>
    <definedName name="OSRRefD22_5x_0" localSheetId="54">'333'!$D$73:$D$74</definedName>
    <definedName name="OSRRefD22_5x_0" localSheetId="71">'405'!$D$54:$D$55</definedName>
    <definedName name="OSRRefD22_5x_0" localSheetId="73">'411'!$D$48</definedName>
    <definedName name="OSRRefD22_5x_0" localSheetId="77">'415'!$D$55:$D$56</definedName>
    <definedName name="OSRRefD22_5x_0" localSheetId="78">'418'!$D$52</definedName>
    <definedName name="OSRRefD22_5x_0" localSheetId="79">'423'!$D$46</definedName>
    <definedName name="OSRRefD22_5x_0" localSheetId="81">'425'!$D$32</definedName>
    <definedName name="OSRRefD22_5x_0" localSheetId="83">'430'!$D$47:$D$49</definedName>
    <definedName name="OSRRefD22_5x_0" localSheetId="84">'433'!$D$55</definedName>
    <definedName name="OSRRefD22_5x_0" localSheetId="86">'444'!$D$55</definedName>
    <definedName name="OSRRefD22_5x_0" localSheetId="87">'450'!$D$55</definedName>
    <definedName name="OSRRefD22_5x_0" localSheetId="70">'491'!$D$56:$D$57</definedName>
    <definedName name="OSRRefD22_5x_0" localSheetId="82">'492'!$D$57</definedName>
    <definedName name="OSRRefD22_5x_0" localSheetId="89">'501'!$D$49:$D$50</definedName>
    <definedName name="OSRRefD22_5x_0" localSheetId="39">'Div 2'!$D$49:$D$50</definedName>
    <definedName name="OSRRefD22_5x_0" localSheetId="47">'Div 3'!$D$88:$D$89</definedName>
    <definedName name="OSRRefD22_5x_0" localSheetId="68">'Div 4'!$D$59:$D$60</definedName>
    <definedName name="OSRRefD22_5x_0" localSheetId="88">'Div 5'!$D$49:$D$50</definedName>
    <definedName name="OSRRefD22_5x_0" localSheetId="61">'Div 6'!$D$63</definedName>
    <definedName name="OSRRefD22_5x_0" localSheetId="2">Summary!$D$96:$D$97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'204'!$D$54:$D$55</definedName>
    <definedName name="OSRRefD22_6x_0" localSheetId="45">'205'!$D$51:$D$53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5">'307'!$D$64</definedName>
    <definedName name="OSRRefD22_6x_0" localSheetId="51">'308'!$D$65:$D$66</definedName>
    <definedName name="OSRRefD22_6x_0" localSheetId="64">'309'!$D$40</definedName>
    <definedName name="OSRRefD22_6x_0" localSheetId="63">'310'!$D$60</definedName>
    <definedName name="OSRRefD22_6x_0" localSheetId="69">'310 &amp; 491'!$D$60</definedName>
    <definedName name="OSRRefD22_6x_0" localSheetId="52">'311'!$D$65:$D$66</definedName>
    <definedName name="OSRRefD22_6x_0" localSheetId="57">'315'!$D$73</definedName>
    <definedName name="OSRRefD22_6x_0" localSheetId="60">'316'!$D$57</definedName>
    <definedName name="OSRRefD22_6x_0" localSheetId="62">'317'!$D$65</definedName>
    <definedName name="OSRRefD22_6x_0" localSheetId="65">'321'!$D$54</definedName>
    <definedName name="OSRRefD22_6x_0" localSheetId="66">'325'!$D$55</definedName>
    <definedName name="OSRRefD22_6x_0" localSheetId="58">'326'!$D$57:$D$58</definedName>
    <definedName name="OSRRefD22_6x_0" localSheetId="56">'331'!$D$73</definedName>
    <definedName name="OSRRefD22_6x_0" localSheetId="59">'332'!$D$57</definedName>
    <definedName name="OSRRefD22_6x_0" localSheetId="54">'333'!$D$76</definedName>
    <definedName name="OSRRefD22_6x_0" localSheetId="71">'405'!$D$57</definedName>
    <definedName name="OSRRefD22_6x_0" localSheetId="73">'411'!$D$50</definedName>
    <definedName name="OSRRefD22_6x_0" localSheetId="77">'415'!$D$58</definedName>
    <definedName name="OSRRefD22_6x_0" localSheetId="78">'418'!$D$54</definedName>
    <definedName name="OSRRefD22_6x_0" localSheetId="83">'430'!$D$51:$D$52</definedName>
    <definedName name="OSRRefD22_6x_0" localSheetId="84">'433'!$D$57</definedName>
    <definedName name="OSRRefD22_6x_0" localSheetId="86">'444'!$D$57</definedName>
    <definedName name="OSRRefD22_6x_0" localSheetId="87">'450'!$D$57</definedName>
    <definedName name="OSRRefD22_6x_0" localSheetId="70">'491'!$D$59</definedName>
    <definedName name="OSRRefD22_6x_0" localSheetId="82">'492'!$D$59</definedName>
    <definedName name="OSRRefD22_6x_0" localSheetId="89">'501'!$D$52</definedName>
    <definedName name="OSRRefD22_6x_0" localSheetId="39">'Div 2'!$D$52</definedName>
    <definedName name="OSRRefD22_6x_0" localSheetId="47">'Div 3'!$D$91:$D$92</definedName>
    <definedName name="OSRRefD22_6x_0" localSheetId="68">'Div 4'!$D$62</definedName>
    <definedName name="OSRRefD22_6x_0" localSheetId="88">'Div 5'!$D$52</definedName>
    <definedName name="OSRRefD22_6x_0" localSheetId="61">'Div 6'!$D$65</definedName>
    <definedName name="OSRRefD22_6x_0" localSheetId="2">Summary!$D$99:$D$100</definedName>
    <definedName name="OSRRefD22_7x_0" localSheetId="41">'201'!$D$51</definedName>
    <definedName name="OSRRefD22_7x_0" localSheetId="42">'202'!$D$51:$D$53</definedName>
    <definedName name="OSRRefD22_7x_0" localSheetId="43">'203'!$D$52</definedName>
    <definedName name="OSRRefD22_7x_0" localSheetId="44">'204'!$D$57</definedName>
    <definedName name="OSRRefD22_7x_0" localSheetId="45">'205'!$D$55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5">'307'!$D$66</definedName>
    <definedName name="OSRRefD22_7x_0" localSheetId="51">'308'!$D$68</definedName>
    <definedName name="OSRRefD22_7x_0" localSheetId="64">'309'!$D$42</definedName>
    <definedName name="OSRRefD22_7x_0" localSheetId="63">'310'!$D$62</definedName>
    <definedName name="OSRRefD22_7x_0" localSheetId="69">'310 &amp; 491'!$D$62</definedName>
    <definedName name="OSRRefD22_7x_0" localSheetId="52">'311'!$D$68</definedName>
    <definedName name="OSRRefD22_7x_0" localSheetId="57">'315'!$D$75</definedName>
    <definedName name="OSRRefD22_7x_0" localSheetId="60">'316'!$D$59:$D$61</definedName>
    <definedName name="OSRRefD22_7x_0" localSheetId="62">'317'!$D$67</definedName>
    <definedName name="OSRRefD22_7x_0" localSheetId="65">'321'!$D$56:$D$57</definedName>
    <definedName name="OSRRefD22_7x_0" localSheetId="66">'325'!$D$57</definedName>
    <definedName name="OSRRefD22_7x_0" localSheetId="58">'326'!$D$60</definedName>
    <definedName name="OSRRefD22_7x_0" localSheetId="56">'331'!$D$75</definedName>
    <definedName name="OSRRefD22_7x_0" localSheetId="59">'332'!$D$59:$D$61</definedName>
    <definedName name="OSRRefD22_7x_0" localSheetId="54">'333'!$D$78</definedName>
    <definedName name="OSRRefD22_7x_0" localSheetId="71">'405'!$D$59</definedName>
    <definedName name="OSRRefD22_7x_0" localSheetId="73">'411'!$D$52</definedName>
    <definedName name="OSRRefD22_7x_0" localSheetId="77">'415'!$D$60</definedName>
    <definedName name="OSRRefD22_7x_0" localSheetId="78">'418'!$D$56:$D$57</definedName>
    <definedName name="OSRRefD22_7x_0" localSheetId="83">'430'!$D$54</definedName>
    <definedName name="OSRRefD22_7x_0" localSheetId="84">'433'!$D$59</definedName>
    <definedName name="OSRRefD22_7x_0" localSheetId="86">'444'!$D$59</definedName>
    <definedName name="OSRRefD22_7x_0" localSheetId="87">'450'!$D$59</definedName>
    <definedName name="OSRRefD22_7x_0" localSheetId="70">'491'!$D$61</definedName>
    <definedName name="OSRRefD22_7x_0" localSheetId="82">'492'!$D$61</definedName>
    <definedName name="OSRRefD22_7x_0" localSheetId="89">'501'!$D$54</definedName>
    <definedName name="OSRRefD22_7x_0" localSheetId="39">'Div 2'!$D$54</definedName>
    <definedName name="OSRRefD22_7x_0" localSheetId="47">'Div 3'!$D$94</definedName>
    <definedName name="OSRRefD22_7x_0" localSheetId="68">'Div 4'!$D$64</definedName>
    <definedName name="OSRRefD22_7x_0" localSheetId="88">'Div 5'!$D$54</definedName>
    <definedName name="OSRRefD22_7x_0" localSheetId="61">'Div 6'!$D$67</definedName>
    <definedName name="OSRRefD22_7x_0" localSheetId="2">Summary!$D$102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4">'204'!$D$59:$D$60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5">'307'!$D$68</definedName>
    <definedName name="OSRRefD22_8x_0" localSheetId="51">'308'!$D$70</definedName>
    <definedName name="OSRRefD22_8x_0" localSheetId="64">'309'!$D$44:$D$45</definedName>
    <definedName name="OSRRefD22_8x_0" localSheetId="63">'310'!$D$64</definedName>
    <definedName name="OSRRefD22_8x_0" localSheetId="69">'310 &amp; 491'!$D$64:$D$65</definedName>
    <definedName name="OSRRefD22_8x_0" localSheetId="52">'311'!$D$70</definedName>
    <definedName name="OSRRefD22_8x_0" localSheetId="57">'315'!$D$77:$D$78</definedName>
    <definedName name="OSRRefD22_8x_0" localSheetId="60">'316'!$D$63</definedName>
    <definedName name="OSRRefD22_8x_0" localSheetId="62">'317'!$D$69</definedName>
    <definedName name="OSRRefD22_8x_0" localSheetId="65">'321'!$D$59:$D$60</definedName>
    <definedName name="OSRRefD22_8x_0" localSheetId="66">'325'!$D$59</definedName>
    <definedName name="OSRRefD22_8x_0" localSheetId="58">'326'!$D$62</definedName>
    <definedName name="OSRRefD22_8x_0" localSheetId="56">'331'!$D$77:$D$78</definedName>
    <definedName name="OSRRefD22_8x_0" localSheetId="59">'332'!$D$63</definedName>
    <definedName name="OSRRefD22_8x_0" localSheetId="54">'333'!$D$80:$D$81</definedName>
    <definedName name="OSRRefD22_8x_0" localSheetId="71">'405'!$D$61</definedName>
    <definedName name="OSRRefD22_8x_0" localSheetId="73">'411'!$D$54</definedName>
    <definedName name="OSRRefD22_8x_0" localSheetId="77">'415'!$D$62</definedName>
    <definedName name="OSRRefD22_8x_0" localSheetId="78">'418'!$D$59:$D$60</definedName>
    <definedName name="OSRRefD22_8x_0" localSheetId="83">'430'!$D$56</definedName>
    <definedName name="OSRRefD22_8x_0" localSheetId="84">'433'!$D$61</definedName>
    <definedName name="OSRRefD22_8x_0" localSheetId="86">'444'!$D$61</definedName>
    <definedName name="OSRRefD22_8x_0" localSheetId="87">'450'!$D$61</definedName>
    <definedName name="OSRRefD22_8x_0" localSheetId="70">'491'!$D$63:$D$64</definedName>
    <definedName name="OSRRefD22_8x_0" localSheetId="82">'492'!$D$63</definedName>
    <definedName name="OSRRefD22_8x_0" localSheetId="89">'501'!$D$56</definedName>
    <definedName name="OSRRefD22_8x_0" localSheetId="39">'Div 2'!$D$56</definedName>
    <definedName name="OSRRefD22_8x_0" localSheetId="47">'Div 3'!$D$96</definedName>
    <definedName name="OSRRefD22_8x_0" localSheetId="68">'Div 4'!$D$66</definedName>
    <definedName name="OSRRefD22_8x_0" localSheetId="88">'Div 5'!$D$56</definedName>
    <definedName name="OSRRefD22_8x_0" localSheetId="61">'Div 6'!$D$69</definedName>
    <definedName name="OSRRefD22_8x_0" localSheetId="2">Summary!$D$104</definedName>
    <definedName name="OSRRefD22_9x_0" localSheetId="41">'201'!$D$55:$D$57</definedName>
    <definedName name="OSRRefD22_9x_0" localSheetId="42">'202'!$D$57:$D$58</definedName>
    <definedName name="OSRRefD22_9x_0" localSheetId="43">'203'!$D$58:$D$59</definedName>
    <definedName name="OSRRefD22_9x_0" localSheetId="44">'204'!$D$62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5">'307'!$D$70:$D$71</definedName>
    <definedName name="OSRRefD22_9x_0" localSheetId="51">'308'!$D$72:$D$74</definedName>
    <definedName name="OSRRefD22_9x_0" localSheetId="64">'309'!$D$47:$D$48</definedName>
    <definedName name="OSRRefD22_9x_0" localSheetId="63">'310'!$D$66</definedName>
    <definedName name="OSRRefD22_9x_0" localSheetId="69">'310 &amp; 491'!$D$67</definedName>
    <definedName name="OSRRefD22_9x_0" localSheetId="52">'311'!$D$72:$D$74</definedName>
    <definedName name="OSRRefD22_9x_0" localSheetId="57">'315'!$D$80</definedName>
    <definedName name="OSRRefD22_9x_0" localSheetId="60">'316'!$D$65</definedName>
    <definedName name="OSRRefD22_9x_0" localSheetId="62">'317'!$D$71:$D$72</definedName>
    <definedName name="OSRRefD22_9x_0" localSheetId="65">'321'!$D$62:$D$64</definedName>
    <definedName name="OSRRefD22_9x_0" localSheetId="66">'325'!$D$61</definedName>
    <definedName name="OSRRefD22_9x_0" localSheetId="58">'326'!$D$64</definedName>
    <definedName name="OSRRefD22_9x_0" localSheetId="56">'331'!$D$80:$D$81</definedName>
    <definedName name="OSRRefD22_9x_0" localSheetId="59">'332'!$D$65</definedName>
    <definedName name="OSRRefD22_9x_0" localSheetId="54">'333'!$D$83:$D$84</definedName>
    <definedName name="OSRRefD22_9x_0" localSheetId="71">'405'!$D$63:$D$64</definedName>
    <definedName name="OSRRefD22_9x_0" localSheetId="73">'411'!$D$56:$D$59</definedName>
    <definedName name="OSRRefD22_9x_0" localSheetId="77">'415'!$D$64</definedName>
    <definedName name="OSRRefD22_9x_0" localSheetId="78">'418'!$D$62:$D$65</definedName>
    <definedName name="OSRRefD22_9x_0" localSheetId="84">'433'!$D$63</definedName>
    <definedName name="OSRRefD22_9x_0" localSheetId="86">'444'!$D$63</definedName>
    <definedName name="OSRRefD22_9x_0" localSheetId="87">'450'!$D$63</definedName>
    <definedName name="OSRRefD22_9x_0" localSheetId="70">'491'!$D$66</definedName>
    <definedName name="OSRRefD22_9x_0" localSheetId="82">'492'!$D$65</definedName>
    <definedName name="OSRRefD22_9x_0" localSheetId="89">'501'!$D$58:$D$60</definedName>
    <definedName name="OSRRefD22_9x_0" localSheetId="39">'Div 2'!$D$58</definedName>
    <definedName name="OSRRefD22_9x_0" localSheetId="47">'Div 3'!$D$98</definedName>
    <definedName name="OSRRefD22_9x_0" localSheetId="68">'Div 4'!$D$68:$D$69</definedName>
    <definedName name="OSRRefD22_9x_0" localSheetId="88">'Div 5'!$D$58:$D$60</definedName>
    <definedName name="OSRRefD22_9x_0" localSheetId="61">'Div 6'!$D$71:$D$72</definedName>
    <definedName name="OSRRefD22_9x_0" localSheetId="2">Summary!$D$106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'201'!$D$20:$D$28,'201'!$D$30:$D$39,'201'!$D$41,'201'!$D$43,'201'!$D$45,'201'!$D$47,'201'!$D$49,'201'!$D$51,'201'!$D$53,'201'!$D$55:$D$57,'201'!$D$59:$D$60,'201'!$D$62,'201'!$D$64:$D$65,'201'!$D$67,'201'!$D$69,'201'!$D$71</definedName>
    <definedName name="OSRRefD22x_0" localSheetId="42">'202'!$D$20:$D$28,'202'!$D$30:$D$39,'202'!$D$41,'202'!$D$43,'202'!$D$45,'202'!$D$47,'202'!$D$49,'202'!$D$51:$D$53,'202'!$D$55,'202'!$D$57:$D$58,'202'!$D$60,'202'!$D$62,'202'!$D$64</definedName>
    <definedName name="OSRRefD22x_0" localSheetId="43">'203'!$D$20:$D$29,'203'!$D$31:$D$40,'203'!$D$42,'203'!$D$44,'203'!$D$46,'203'!$D$48,'203'!$D$50,'203'!$D$52,'203'!$D$54:$D$56,'203'!$D$58:$D$59,'203'!$D$61:$D$62,'203'!$D$64:$D$67,'203'!$D$69,'203'!$D$71,'203'!$D$73</definedName>
    <definedName name="OSRRefD22x_0" localSheetId="44">'204'!$D$20:$D$29,'204'!$D$31:$D$40,'204'!$D$42,'204'!$D$44:$D$45,'204'!$D$47,'204'!$D$49:$D$52,'204'!$D$54:$D$55,'204'!$D$57,'204'!$D$59:$D$60,'204'!$D$62,'204'!$D$64</definedName>
    <definedName name="OSRRefD22x_0" localSheetId="45">'205'!$D$20:$D$28,'205'!$D$30:$D$39,'205'!$D$41,'205'!$D$43,'205'!$D$45:$D$47,'205'!$D$49,'205'!$D$51:$D$53,'205'!$D$55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$94,'301'!$D$96</definedName>
    <definedName name="OSRRefD22x_0" localSheetId="55">'307'!$D$34:$D$42,'307'!$D$44:$D$53,'307'!$D$55,'307'!$D$57,'307'!$D$59,'307'!$D$61:$D$62,'307'!$D$64,'307'!$D$66,'307'!$D$68,'307'!$D$70:$D$71,'307'!$D$73:$D$74,'307'!$D$76,'307'!$D$78:$D$81,'307'!$D$83</definedName>
    <definedName name="OSRRefD22x_0" localSheetId="51">'308'!$D$35:$D$44,'308'!$D$46:$D$55,'308'!$D$57,'308'!$D$59,'308'!$D$61,'308'!$D$63,'308'!$D$65:$D$66,'308'!$D$68,'308'!$D$70,'308'!$D$72:$D$74,'308'!$D$76:$D$77,'308'!$D$79:$D$80,'308'!$D$82:$D$83,'308'!$D$85</definedName>
    <definedName name="OSRRefD22x_0" localSheetId="64">'309'!$D$26:$D$27,'309'!$D$29:$D$30,'309'!$D$32,'309'!$D$34,'309'!$D$36,'309'!$D$38,'309'!$D$40,'309'!$D$42,'309'!$D$44:$D$45,'309'!$D$47:$D$48,'309'!$D$50:$D$51,'309'!$D$53,'309'!$D$55</definedName>
    <definedName name="OSRRefD22x_0" localSheetId="63">'310'!$D$29:$D$38,'310'!$D$40:$D$49,'310'!$D$51,'310'!$D$53,'310'!$D$55,'310'!$D$57:$D$58,'310'!$D$60,'310'!$D$62,'310'!$D$64,'310'!$D$66,'310'!$D$68,'310'!$D$70:$D$72,'310'!$D$74:$D$75,'310'!$D$77:$D$79,'310'!$D$81:$D$86,'310'!$D$88:$D$89,'310'!$D$91,'310'!$D$93</definedName>
    <definedName name="OSRRefD22x_0" localSheetId="69">'310 &amp; 491'!$D$29:$D$38,'310 &amp; 491'!$D$40:$D$49,'310 &amp; 491'!$D$51,'310 &amp; 491'!$D$53,'310 &amp; 491'!$D$55,'310 &amp; 491'!$D$57:$D$58,'310 &amp; 491'!$D$60,'310 &amp; 491'!$D$62,'310 &amp; 491'!$D$64:$D$65,'310 &amp; 491'!$D$67,'310 &amp; 491'!$D$69,'310 &amp; 491'!$D$71,'310 &amp; 491'!$D$73,'310 &amp; 491'!$D$75:$D$78,'310 &amp; 491'!$D$80:$D$81,'310 &amp; 491'!$D$83:$D$87,'310 &amp; 491'!$D$89,'310 &amp; 491'!$D$91:$D$100,'310 &amp; 491'!$D$102:$D$103,'310 &amp; 491'!$D$105,'310 &amp; 491'!$D$107:$D$108,'310 &amp; 491'!$D$110</definedName>
    <definedName name="OSRRefD22x_0" localSheetId="52">'311'!$D$35:$D$44,'311'!$D$46:$D$55,'311'!$D$57,'311'!$D$59,'311'!$D$61,'311'!$D$63,'311'!$D$65:$D$66,'311'!$D$68,'311'!$D$70,'311'!$D$72:$D$74,'311'!$D$76:$D$77,'311'!$D$79:$D$80,'311'!$D$82:$D$83,'311'!$D$85</definedName>
    <definedName name="OSRRefD22x_0" localSheetId="57">'315'!$D$44:$D$52,'315'!$D$54:$D$63,'315'!$D$65,'315'!$D$67,'315'!$D$69,'315'!$D$71,'315'!$D$73,'315'!$D$75,'315'!$D$77:$D$78,'315'!$D$80,'315'!$D$82,'315'!$D$84,'315'!$D$86:$D$87,'315'!$D$89:$D$91,'315'!$D$93:$D$94,'315'!$D$96:$D$99,'315'!$D$101,'315'!$D$103,'315'!$D$105</definedName>
    <definedName name="OSRRefD22x_0" localSheetId="60">'316'!$D$27:$D$35,'316'!$D$37:$D$46,'316'!$D$48,'316'!$D$50,'316'!$D$52,'316'!$D$54:$D$55,'316'!$D$57,'316'!$D$59:$D$61,'316'!$D$63,'316'!$D$65,'316'!$D$67:$D$71,'316'!$D$73</definedName>
    <definedName name="OSRRefD22x_0" localSheetId="62">'317'!$D$35:$D$44,'317'!$D$46:$D$55,'317'!$D$57,'317'!$D$59,'317'!$D$61,'317'!$D$63,'317'!$D$65,'317'!$D$67,'317'!$D$69,'317'!$D$71:$D$72,'317'!$D$74</definedName>
    <definedName name="OSRRefD22x_0" localSheetId="65">'321'!$D$24:$D$33,'321'!$D$35:$D$44,'321'!$D$46,'321'!$D$48,'321'!$D$50,'321'!$D$52,'321'!$D$54,'321'!$D$56:$D$57,'321'!$D$59:$D$60,'321'!$D$62:$D$64,'321'!$D$66:$D$69,'321'!$D$71,'321'!$D$73</definedName>
    <definedName name="OSRRefD22x_0" localSheetId="66">'325'!$D$25:$D$33,'325'!$D$35:$D$44,'325'!$D$46,'325'!$D$48,'325'!$D$50,'325'!$D$52:$D$53,'325'!$D$55,'325'!$D$57,'325'!$D$59,'325'!$D$61,'325'!$D$63,'325'!$D$65:$D$67,'325'!$D$69:$D$71,'325'!$D$73:$D$78,'325'!$D$80:$D$81,'325'!$D$83,'325'!$D$85</definedName>
    <definedName name="OSRRefD22x_0" localSheetId="58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7">'327'!$D$26,'327'!$D$28</definedName>
    <definedName name="OSRRefD22x_0" localSheetId="56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,'331'!$D$114:$D$115,'331'!$D$117</definedName>
    <definedName name="OSRRefD22x_0" localSheetId="59">'332'!$D$27:$D$35,'332'!$D$37:$D$46,'332'!$D$48,'332'!$D$50,'332'!$D$52,'332'!$D$54:$D$55,'332'!$D$57,'332'!$D$59:$D$61,'332'!$D$63,'332'!$D$65,'332'!$D$67:$D$71,'332'!$D$73</definedName>
    <definedName name="OSRRefD22x_0" localSheetId="54">'333'!$D$46:$D$54,'333'!$D$56:$D$65,'333'!$D$67,'333'!$D$69,'333'!$D$71,'333'!$D$73:$D$74,'333'!$D$76,'333'!$D$78,'333'!$D$80:$D$81,'333'!$D$83:$D$84,'333'!$D$86,'333'!$D$88,'333'!$D$90,'333'!$D$92,'333'!$D$94:$D$95,'333'!$D$97:$D$99,'333'!$D$101:$D$103,'333'!$D$105:$D$106,'333'!$D$108:$D$113,'333'!$D$115,'333'!$D$117,'333'!$D$119:$D$120,'333'!$D$122</definedName>
    <definedName name="OSRRefD22x_0" localSheetId="71">'405'!$D$27:$D$35,'405'!$D$37:$D$46,'405'!$D$48,'405'!$D$50,'405'!$D$52,'405'!$D$54:$D$55,'405'!$D$57,'405'!$D$59,'405'!$D$61,'405'!$D$63:$D$64,'405'!$D$66:$D$69,'405'!$D$71,'405'!$D$73:$D$81,'405'!$D$83,'405'!$D$85,'405'!$D$87,'405'!$D$89</definedName>
    <definedName name="OSRRefD22x_0" localSheetId="72">'406'!$D$20,'406'!$D$22</definedName>
    <definedName name="OSRRefD22x_0" localSheetId="73">'411'!$D$20:$D$28,'411'!$D$30:$D$39,'411'!$D$41,'411'!$D$43:$D$44,'411'!$D$46,'411'!$D$48,'411'!$D$50,'411'!$D$52,'411'!$D$54,'411'!$D$56:$D$59,'411'!$D$61:$D$63,'411'!$D$65,'411'!$D$67:$D$68,'411'!$D$70,'411'!$D$72,'411'!$D$74:$D$75,'411'!$D$77</definedName>
    <definedName name="OSRRefD22x_0" localSheetId="74">'412'!$D$20,'412'!$D$22,'412'!$D$24,'412'!$D$26,'412'!$D$28</definedName>
    <definedName name="OSRRefD22x_0" localSheetId="75">'413'!$D$20,'413'!$D$22,'413'!$D$24</definedName>
    <definedName name="OSRRefD22x_0" localSheetId="76">'414'!$D$20,'414'!$D$22,'414'!$D$24</definedName>
    <definedName name="OSRRefD22x_0" localSheetId="77">'415'!$D$27:$D$36,'415'!$D$38:$D$47,'415'!$D$49,'415'!$D$51,'415'!$D$53,'415'!$D$55:$D$56,'415'!$D$58,'415'!$D$60,'415'!$D$62,'415'!$D$64,'415'!$D$66,'415'!$D$68:$D$69,'415'!$D$71:$D$74,'415'!$D$76,'415'!$D$78:$D$85,'415'!$D$87:$D$88,'415'!$D$90,'415'!$D$92</definedName>
    <definedName name="OSRRefD22x_0" localSheetId="78">'418'!$D$24:$D$32,'418'!$D$34:$D$43,'418'!$D$45,'418'!$D$47,'418'!$D$49:$D$50,'418'!$D$52,'418'!$D$54,'418'!$D$56:$D$57,'418'!$D$59:$D$60,'418'!$D$62:$D$65,'418'!$D$67,'418'!$D$69:$D$77,'418'!$D$79:$D$80,'418'!$D$82,'418'!$D$84,'418'!$D$86</definedName>
    <definedName name="OSRRefD22x_0" localSheetId="79">'423'!$D$20:$D$27,'423'!$D$29:$D$38,'423'!$D$40,'423'!$D$42,'423'!$D$44,'423'!$D$46</definedName>
    <definedName name="OSRRefD22x_0" localSheetId="80">'424'!$D$20,'424'!$D$22,'424'!$D$24</definedName>
    <definedName name="OSRRefD22x_0" localSheetId="81">'425'!$D$22,'425'!$D$24,'425'!$D$26,'425'!$D$28,'425'!$D$30,'425'!$D$32</definedName>
    <definedName name="OSRRefD22x_0" localSheetId="83">'430'!$D$20:$D$28,'430'!$D$30:$D$39,'430'!$D$41,'430'!$D$43,'430'!$D$45,'430'!$D$47:$D$49,'430'!$D$51:$D$52,'430'!$D$54,'430'!$D$56</definedName>
    <definedName name="OSRRefD22x_0" localSheetId="84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5">'435'!$D$23:$D$24,'435'!$D$26,'435'!$D$28,'435'!$D$30,'435'!$D$32</definedName>
    <definedName name="OSRRefD22x_0" localSheetId="86">'444'!$D$27:$D$36,'444'!$D$38:$D$47,'444'!$D$49,'444'!$D$51,'444'!$D$53,'444'!$D$55,'444'!$D$57,'444'!$D$59,'444'!$D$61,'444'!$D$63,'444'!$D$65,'444'!$D$67:$D$68,'444'!$D$70:$D$73,'444'!$D$75,'444'!$D$77:$D$85,'444'!$D$87,'444'!$D$89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0">'491'!$D$28:$D$37,'491'!$D$39:$D$48,'491'!$D$50,'491'!$D$52,'491'!$D$54,'491'!$D$56:$D$57,'491'!$D$59,'491'!$D$61,'491'!$D$63:$D$64,'491'!$D$66,'491'!$D$68,'491'!$D$70,'491'!$D$72,'491'!$D$74:$D$77,'491'!$D$79,'491'!$D$81:$D$85,'491'!$D$87,'491'!$D$89:$D$98,'491'!$D$100:$D$101,'491'!$D$103,'491'!$D$105:$D$106,'491'!$D$108</definedName>
    <definedName name="OSRRefD22x_0" localSheetId="82">'492'!$D$29:$D$38,'492'!$D$40:$D$49,'492'!$D$51,'492'!$D$53,'492'!$D$55,'492'!$D$57,'492'!$D$59,'492'!$D$61,'492'!$D$63,'492'!$D$65,'492'!$D$67,'492'!$D$69,'492'!$D$71:$D$73,'492'!$D$75:$D$78,'492'!$D$80,'492'!$D$82:$D$90,'492'!$D$92:$D$93,'492'!$D$95,'492'!$D$97:$D$98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47">'Div 3'!$D$60:$D$69,'Div 3'!$D$71:$D$80,'Div 3'!$D$82,'Div 3'!$D$84,'Div 3'!$D$86,'Div 3'!$D$88:$D$89,'Div 3'!$D$91:$D$92,'Div 3'!$D$94,'Div 3'!$D$96,'Div 3'!$D$98,'Div 3'!$D$100:$D$101,'Div 3'!$D$103:$D$104,'Div 3'!$D$106,'Div 3'!$D$108,'Div 3'!$D$110,'Div 3'!$D$112,'Div 3'!$D$114,'Div 3'!$D$116:$D$119,'Div 3'!$D$121:$D$124,'Div 3'!$D$126:$D$129,'Div 3'!$D$131:$D$132,'Div 3'!$D$134:$D$140,'Div 3'!$D$142:$D$143,'Div 3'!$D$145,'Div 3'!$D$147:$D$149,'Div 3'!$D$151</definedName>
    <definedName name="OSRRefD22x_0" localSheetId="68">'Div 4'!$D$31:$D$40,'Div 4'!$D$42:$D$51,'Div 4'!$D$53,'Div 4'!$D$55,'Div 4'!$D$57,'Div 4'!$D$59:$D$60,'Div 4'!$D$62,'Div 4'!$D$64,'Div 4'!$D$66,'Div 4'!$D$68:$D$69,'Div 4'!$D$71,'Div 4'!$D$73,'Div 4'!$D$75,'Div 4'!$D$77,'Div 4'!$D$79,'Div 4'!$D$81:$D$84,'Div 4'!$D$86,'Div 4'!$D$88:$D$92,'Div 4'!$D$94:$D$95,'Div 4'!$D$97:$D$106,'Div 4'!$D$108:$D$109,'Div 4'!$D$111,'Div 4'!$D$113:$D$114,'Div 4'!$D$116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6'!$D$69,'Div 6'!$D$71:$D$72,'Div 6'!$D$74</definedName>
    <definedName name="OSRRefD22x_0" localSheetId="2">Summary!$D$68:$D$77,Summary!$D$79:$D$88,Summary!$D$90,Summary!$D$92,Summary!$D$94,Summary!$D$96:$D$97,Summary!$D$99:$D$100,Summary!$D$102,Summary!$D$104,Summary!$D$106,Summary!$D$108:$D$109,Summary!$D$111:$D$113,Summary!$D$115,Summary!$D$117,Summary!$D$119,Summary!$D$121,Summary!$D$123,Summary!$D$125,Summary!$D$127:$D$130,Summary!$D$132:$D$135,Summary!$D$137:$D$141,Summary!$D$143:$D$144,Summary!$D$146:$D$155,Summary!$D$157:$D$158,Summary!$D$160,Summary!$D$162:$D$164,Summary!$D$166</definedName>
    <definedName name="OSRRefD25x_0" localSheetId="48">'300'!$D$145:$D$149</definedName>
    <definedName name="OSRRefD25x_0" localSheetId="49">'300 &amp; 317'!$D$151:$D$157</definedName>
    <definedName name="OSRRefD25x_0" localSheetId="50">'301'!$D$99:$D$100</definedName>
    <definedName name="OSRRefD25x_0" localSheetId="51">'308'!$D$88:$D$91</definedName>
    <definedName name="OSRRefD25x_0" localSheetId="69">'310 &amp; 491'!$D$113:$D$116</definedName>
    <definedName name="OSRRefD25x_0" localSheetId="52">'311'!$D$88:$D$91</definedName>
    <definedName name="OSRRefD25x_0" localSheetId="57">'315'!$D$108:$D$111</definedName>
    <definedName name="OSRRefD25x_0" localSheetId="60">'316'!$D$76</definedName>
    <definedName name="OSRRefD25x_0" localSheetId="62">'317'!$D$77:$D$79</definedName>
    <definedName name="OSRRefD25x_0" localSheetId="56">'331'!$D$120:$D$123</definedName>
    <definedName name="OSRRefD25x_0" localSheetId="59">'332'!$D$76</definedName>
    <definedName name="OSRRefD25x_0" localSheetId="54">'333'!$D$125:$D$128</definedName>
    <definedName name="OSRRefD25x_0" localSheetId="71">'405'!$D$92</definedName>
    <definedName name="OSRRefD25x_0" localSheetId="73">'411'!$D$80</definedName>
    <definedName name="OSRRefD25x_0" localSheetId="77">'415'!$D$95</definedName>
    <definedName name="OSRRefD25x_0" localSheetId="78">'418'!$D$89</definedName>
    <definedName name="OSRRefD25x_0" localSheetId="79">'423'!$D$49:$D$51</definedName>
    <definedName name="OSRRefD25x_0" localSheetId="70">'491'!$D$111:$D$114</definedName>
    <definedName name="OSRRefD25x_0" localSheetId="89">'501'!$D$73</definedName>
    <definedName name="OSRRefD25x_0" localSheetId="47">'Div 3'!$D$154:$D$158</definedName>
    <definedName name="OSRRefD25x_0" localSheetId="68">'Div 4'!$D$119:$D$122</definedName>
    <definedName name="OSRRefD25x_0" localSheetId="88">'Div 5'!$D$73</definedName>
    <definedName name="OSRRefD25x_0" localSheetId="61">'Div 6'!$D$77:$D$79</definedName>
    <definedName name="OSRRefD25x_0" localSheetId="2">Summary!$D$169:$D$176</definedName>
    <definedName name="OSRRefH13x_0" localSheetId="48">'300'!$H$13:$H$19</definedName>
    <definedName name="OSRRefH13x_0" localSheetId="49">'300 &amp; 317'!$H$13:$H$19</definedName>
    <definedName name="OSRRefH13x_0" localSheetId="55">'307'!$H$13:$H$16</definedName>
    <definedName name="OSRRefH13x_0" localSheetId="51">'308'!$H$13:$H$17</definedName>
    <definedName name="OSRRefH13x_0" localSheetId="64">'309'!$H$13:$H$16</definedName>
    <definedName name="OSRRefH13x_0" localSheetId="63">'310'!$H$13:$H$18</definedName>
    <definedName name="OSRRefH13x_0" localSheetId="69">'310 &amp; 491'!$H$13:$H$18</definedName>
    <definedName name="OSRRefH13x_0" localSheetId="52">'311'!$H$13:$H$17</definedName>
    <definedName name="OSRRefH13x_0" localSheetId="57">'315'!$H$13:$H$17</definedName>
    <definedName name="OSRRefH13x_0" localSheetId="60">'316'!$H$13:$H$17</definedName>
    <definedName name="OSRRefH13x_0" localSheetId="62">'317'!$H$13:$H$17</definedName>
    <definedName name="OSRRefH13x_0" localSheetId="65">'321'!$H$13:$H$14</definedName>
    <definedName name="OSRRefH13x_0" localSheetId="53">'324'!$H$13:$H$14</definedName>
    <definedName name="OSRRefH13x_0" localSheetId="66">'325'!$H$13:$H$14</definedName>
    <definedName name="OSRRefH13x_0" localSheetId="58">'326'!$H$13:$H$16</definedName>
    <definedName name="OSRRefH13x_0" localSheetId="67">'327'!$H$13:$H$15</definedName>
    <definedName name="OSRRefH13x_0" localSheetId="56">'331'!$H$13:$H$17</definedName>
    <definedName name="OSRRefH13x_0" localSheetId="59">'332'!$H$13:$H$17</definedName>
    <definedName name="OSRRefH13x_0" localSheetId="54">'333'!$H$13:$H$17</definedName>
    <definedName name="OSRRefH13x_0" localSheetId="71">'405'!$H$13:$H$16</definedName>
    <definedName name="OSRRefH13x_0" localSheetId="77">'415'!$H$13:$H$16</definedName>
    <definedName name="OSRRefH13x_0" localSheetId="78">'418'!$H$13:$H$14</definedName>
    <definedName name="OSRRefH13x_0" localSheetId="81">'425'!$H$13</definedName>
    <definedName name="OSRRefH13x_0" localSheetId="84">'433'!$H$13:$H$16</definedName>
    <definedName name="OSRRefH13x_0" localSheetId="85">'435'!$H$13:$H$14</definedName>
    <definedName name="OSRRefH13x_0" localSheetId="86">'444'!$H$13:$H$16</definedName>
    <definedName name="OSRRefH13x_0" localSheetId="87">'450'!$H$13:$H$16</definedName>
    <definedName name="OSRRefH13x_0" localSheetId="70">'491'!$H$13:$H$17</definedName>
    <definedName name="OSRRefH13x_0" localSheetId="82">'492'!$H$13:$H$18</definedName>
    <definedName name="OSRRefH13x_0" localSheetId="89">'501'!$H$13</definedName>
    <definedName name="OSRRefH13x_0" localSheetId="47">'Div 3'!$H$13:$H$23</definedName>
    <definedName name="OSRRefH13x_0" localSheetId="68">'Div 4'!$H$13:$H$20</definedName>
    <definedName name="OSRRefH13x_0" localSheetId="88">'Div 5'!$H$13</definedName>
    <definedName name="OSRRefH13x_0" localSheetId="61">'Div 6'!$H$13:$H$17</definedName>
    <definedName name="OSRRefH13x_0" localSheetId="2">Summary!$H$13:$H$25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5">'307'!$H$19:$H$28</definedName>
    <definedName name="OSRRefH16x_0" localSheetId="51">'308'!$H$20:$H$29</definedName>
    <definedName name="OSRRefH16x_0" localSheetId="64">'309'!$H$19:$H$20</definedName>
    <definedName name="OSRRefH16x_0" localSheetId="63">'310'!$H$21:$H$23</definedName>
    <definedName name="OSRRefH16x_0" localSheetId="69">'310 &amp; 491'!$H$21:$H$23</definedName>
    <definedName name="OSRRefH16x_0" localSheetId="52">'311'!$H$20:$H$29</definedName>
    <definedName name="OSRRefH16x_0" localSheetId="57">'315'!$H$20:$H$38</definedName>
    <definedName name="OSRRefH16x_0" localSheetId="60">'316'!$H$20:$H$21</definedName>
    <definedName name="OSRRefH16x_0" localSheetId="62">'317'!$H$20:$H$29</definedName>
    <definedName name="OSRRefH16x_0" localSheetId="65">'321'!$H$17:$H$18</definedName>
    <definedName name="OSRRefH16x_0" localSheetId="53">'324'!$H$17</definedName>
    <definedName name="OSRRefH16x_0" localSheetId="66">'325'!$H$17:$H$19</definedName>
    <definedName name="OSRRefH16x_0" localSheetId="58">'326'!$H$19:$H$22</definedName>
    <definedName name="OSRRefH16x_0" localSheetId="67">'327'!$H$18:$H$20</definedName>
    <definedName name="OSRRefH16x_0" localSheetId="56">'331'!$H$20:$H$38</definedName>
    <definedName name="OSRRefH16x_0" localSheetId="59">'332'!$H$20:$H$21</definedName>
    <definedName name="OSRRefH16x_0" localSheetId="54">'333'!$H$20:$H$40</definedName>
    <definedName name="OSRRefH16x_0" localSheetId="71">'405'!$H$19:$H$21</definedName>
    <definedName name="OSRRefH16x_0" localSheetId="77">'415'!$H$19:$H$21</definedName>
    <definedName name="OSRRefH16x_0" localSheetId="78">'418'!$H$17:$H$18</definedName>
    <definedName name="OSRRefH16x_0" localSheetId="81">'425'!$H$16</definedName>
    <definedName name="OSRRefH16x_0" localSheetId="84">'433'!$H$19:$H$21</definedName>
    <definedName name="OSRRefH16x_0" localSheetId="85">'435'!$H$17</definedName>
    <definedName name="OSRRefH16x_0" localSheetId="86">'444'!$H$19:$H$21</definedName>
    <definedName name="OSRRefH16x_0" localSheetId="87">'450'!$H$19:$H$21</definedName>
    <definedName name="OSRRefH16x_0" localSheetId="70">'491'!$H$20:$H$22</definedName>
    <definedName name="OSRRefH16x_0" localSheetId="82">'492'!$H$21:$H$23</definedName>
    <definedName name="OSRRefH16x_0" localSheetId="47">'Div 3'!$H$26:$H$54</definedName>
    <definedName name="OSRRefH16x_0" localSheetId="68">'Div 4'!$H$23:$H$25</definedName>
    <definedName name="OSRRefH16x_0" localSheetId="61">'Div 6'!$H$20:$H$29</definedName>
    <definedName name="OSRRefH16x_0" localSheetId="2">Summary!$H$28:$H$62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5">'307'!$H$34:$H$42</definedName>
    <definedName name="OSRRefH22_0x_0" localSheetId="51">'308'!$H$35:$H$44</definedName>
    <definedName name="OSRRefH22_0x_0" localSheetId="64">'309'!$H$26:$H$27</definedName>
    <definedName name="OSRRefH22_0x_0" localSheetId="63">'310'!$H$29:$H$38</definedName>
    <definedName name="OSRRefH22_0x_0" localSheetId="69">'310 &amp; 491'!$H$29:$H$38</definedName>
    <definedName name="OSRRefH22_0x_0" localSheetId="52">'311'!$H$35:$H$44</definedName>
    <definedName name="OSRRefH22_0x_0" localSheetId="57">'315'!$H$44:$H$52</definedName>
    <definedName name="OSRRefH22_0x_0" localSheetId="60">'316'!$H$27:$H$35</definedName>
    <definedName name="OSRRefH22_0x_0" localSheetId="62">'317'!$H$35:$H$44</definedName>
    <definedName name="OSRRefH22_0x_0" localSheetId="65">'321'!$H$24:$H$33</definedName>
    <definedName name="OSRRefH22_0x_0" localSheetId="66">'325'!$H$25:$H$33</definedName>
    <definedName name="OSRRefH22_0x_0" localSheetId="58">'326'!$H$28:$H$36</definedName>
    <definedName name="OSRRefH22_0x_0" localSheetId="67">'327'!$H$26</definedName>
    <definedName name="OSRRefH22_0x_0" localSheetId="56">'331'!$H$44:$H$52</definedName>
    <definedName name="OSRRefH22_0x_0" localSheetId="59">'332'!$H$27:$H$35</definedName>
    <definedName name="OSRRefH22_0x_0" localSheetId="54">'333'!$H$46:$H$54</definedName>
    <definedName name="OSRRefH22_0x_0" localSheetId="71">'405'!$H$27:$H$35</definedName>
    <definedName name="OSRRefH22_0x_0" localSheetId="72">'406'!$H$20</definedName>
    <definedName name="OSRRefH22_0x_0" localSheetId="73">'411'!$H$20:$H$28</definedName>
    <definedName name="OSRRefH22_0x_0" localSheetId="74">'412'!$H$20</definedName>
    <definedName name="OSRRefH22_0x_0" localSheetId="75">'413'!$H$20</definedName>
    <definedName name="OSRRefH22_0x_0" localSheetId="76">'414'!$H$20</definedName>
    <definedName name="OSRRefH22_0x_0" localSheetId="77">'415'!$H$27:$H$36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'425'!$H$22</definedName>
    <definedName name="OSRRefH22_0x_0" localSheetId="83">'430'!$H$20:$H$28</definedName>
    <definedName name="OSRRefH22_0x_0" localSheetId="84">'433'!$H$27:$H$36</definedName>
    <definedName name="OSRRefH22_0x_0" localSheetId="85">'435'!$H$23:$H$24</definedName>
    <definedName name="OSRRefH22_0x_0" localSheetId="86">'444'!$H$27:$H$36</definedName>
    <definedName name="OSRRefH22_0x_0" localSheetId="87">'450'!$H$27:$H$36</definedName>
    <definedName name="OSRRefH22_0x_0" localSheetId="70">'491'!$H$28:$H$37</definedName>
    <definedName name="OSRRefH22_0x_0" localSheetId="82">'492'!$H$29:$H$38</definedName>
    <definedName name="OSRRefH22_0x_0" localSheetId="89">'501'!$H$21:$H$30</definedName>
    <definedName name="OSRRefH22_0x_0" localSheetId="39">'Div 2'!$H$20:$H$30</definedName>
    <definedName name="OSRRefH22_0x_0" localSheetId="47">'Div 3'!$H$60:$H$69</definedName>
    <definedName name="OSRRefH22_0x_0" localSheetId="68">'Div 4'!$H$31:$H$40</definedName>
    <definedName name="OSRRefH22_0x_0" localSheetId="88">'Div 5'!$H$21:$H$30</definedName>
    <definedName name="OSRRefH22_0x_0" localSheetId="61">'Div 6'!$H$35:$H$44</definedName>
    <definedName name="OSRRefH22_0x_0" localSheetId="2">Summary!$H$68:$H$77</definedName>
    <definedName name="OSRRefH22_10x_0" localSheetId="41">'201'!$H$59:$H$60</definedName>
    <definedName name="OSRRefH22_10x_0" localSheetId="42">'202'!$H$60</definedName>
    <definedName name="OSRRefH22_10x_0" localSheetId="43">'203'!$H$61:$H$62</definedName>
    <definedName name="OSRRefH22_10x_0" localSheetId="44">'204'!$H$64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5">'307'!$H$73:$H$74</definedName>
    <definedName name="OSRRefH22_10x_0" localSheetId="51">'308'!$H$76:$H$77</definedName>
    <definedName name="OSRRefH22_10x_0" localSheetId="64">'309'!$H$50:$H$51</definedName>
    <definedName name="OSRRefH22_10x_0" localSheetId="63">'310'!$H$68</definedName>
    <definedName name="OSRRefH22_10x_0" localSheetId="69">'310 &amp; 491'!$H$69</definedName>
    <definedName name="OSRRefH22_10x_0" localSheetId="52">'311'!$H$76:$H$77</definedName>
    <definedName name="OSRRefH22_10x_0" localSheetId="57">'315'!$H$82</definedName>
    <definedName name="OSRRefH22_10x_0" localSheetId="60">'316'!$H$67:$H$71</definedName>
    <definedName name="OSRRefH22_10x_0" localSheetId="62">'317'!$H$74</definedName>
    <definedName name="OSRRefH22_10x_0" localSheetId="65">'321'!$H$66:$H$69</definedName>
    <definedName name="OSRRefH22_10x_0" localSheetId="66">'325'!$H$63</definedName>
    <definedName name="OSRRefH22_10x_0" localSheetId="58">'326'!$H$66</definedName>
    <definedName name="OSRRefH22_10x_0" localSheetId="56">'331'!$H$83</definedName>
    <definedName name="OSRRefH22_10x_0" localSheetId="59">'332'!$H$67:$H$71</definedName>
    <definedName name="OSRRefH22_10x_0" localSheetId="54">'333'!$H$86</definedName>
    <definedName name="OSRRefH22_10x_0" localSheetId="71">'405'!$H$66:$H$69</definedName>
    <definedName name="OSRRefH22_10x_0" localSheetId="73">'411'!$H$61:$H$63</definedName>
    <definedName name="OSRRefH22_10x_0" localSheetId="77">'415'!$H$66</definedName>
    <definedName name="OSRRefH22_10x_0" localSheetId="78">'418'!$H$67</definedName>
    <definedName name="OSRRefH22_10x_0" localSheetId="84">'433'!$H$65</definedName>
    <definedName name="OSRRefH22_10x_0" localSheetId="86">'444'!$H$65</definedName>
    <definedName name="OSRRefH22_10x_0" localSheetId="87">'450'!$H$65</definedName>
    <definedName name="OSRRefH22_10x_0" localSheetId="70">'491'!$H$68</definedName>
    <definedName name="OSRRefH22_10x_0" localSheetId="82">'492'!$H$67</definedName>
    <definedName name="OSRRefH22_10x_0" localSheetId="89">'501'!$H$62</definedName>
    <definedName name="OSRRefH22_10x_0" localSheetId="39">'Div 2'!$H$60</definedName>
    <definedName name="OSRRefH22_10x_0" localSheetId="47">'Div 3'!$H$100:$H$101</definedName>
    <definedName name="OSRRefH22_10x_0" localSheetId="68">'Div 4'!$H$71</definedName>
    <definedName name="OSRRefH22_10x_0" localSheetId="88">'Div 5'!$H$62</definedName>
    <definedName name="OSRRefH22_10x_0" localSheetId="61">'Div 6'!$H$74</definedName>
    <definedName name="OSRRefH22_10x_0" localSheetId="2">Summary!$H$108:$H$109</definedName>
    <definedName name="OSRRefH22_11x_0" localSheetId="41">'201'!$H$62</definedName>
    <definedName name="OSRRefH22_11x_0" localSheetId="42">'202'!$H$62</definedName>
    <definedName name="OSRRefH22_11x_0" localSheetId="43">'203'!$H$64:$H$67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5">'307'!$H$76</definedName>
    <definedName name="OSRRefH22_11x_0" localSheetId="51">'308'!$H$79:$H$80</definedName>
    <definedName name="OSRRefH22_11x_0" localSheetId="64">'309'!$H$53</definedName>
    <definedName name="OSRRefH22_11x_0" localSheetId="63">'310'!$H$70:$H$72</definedName>
    <definedName name="OSRRefH22_11x_0" localSheetId="69">'310 &amp; 491'!$H$71</definedName>
    <definedName name="OSRRefH22_11x_0" localSheetId="52">'311'!$H$79:$H$80</definedName>
    <definedName name="OSRRefH22_11x_0" localSheetId="57">'315'!$H$84</definedName>
    <definedName name="OSRRefH22_11x_0" localSheetId="60">'316'!$H$73</definedName>
    <definedName name="OSRRefH22_11x_0" localSheetId="65">'321'!$H$71</definedName>
    <definedName name="OSRRefH22_11x_0" localSheetId="66">'325'!$H$65:$H$67</definedName>
    <definedName name="OSRRefH22_11x_0" localSheetId="58">'326'!$H$68:$H$69</definedName>
    <definedName name="OSRRefH22_11x_0" localSheetId="56">'331'!$H$85</definedName>
    <definedName name="OSRRefH22_11x_0" localSheetId="59">'332'!$H$73</definedName>
    <definedName name="OSRRefH22_11x_0" localSheetId="54">'333'!$H$88</definedName>
    <definedName name="OSRRefH22_11x_0" localSheetId="71">'405'!$H$71</definedName>
    <definedName name="OSRRefH22_11x_0" localSheetId="73">'411'!$H$65</definedName>
    <definedName name="OSRRefH22_11x_0" localSheetId="77">'415'!$H$68:$H$69</definedName>
    <definedName name="OSRRefH22_11x_0" localSheetId="78">'418'!$H$69:$H$77</definedName>
    <definedName name="OSRRefH22_11x_0" localSheetId="84">'433'!$H$67:$H$69</definedName>
    <definedName name="OSRRefH22_11x_0" localSheetId="86">'444'!$H$67:$H$68</definedName>
    <definedName name="OSRRefH22_11x_0" localSheetId="87">'450'!$H$67:$H$69</definedName>
    <definedName name="OSRRefH22_11x_0" localSheetId="70">'491'!$H$70</definedName>
    <definedName name="OSRRefH22_11x_0" localSheetId="82">'492'!$H$69</definedName>
    <definedName name="OSRRefH22_11x_0" localSheetId="89">'501'!$H$64:$H$66</definedName>
    <definedName name="OSRRefH22_11x_0" localSheetId="39">'Div 2'!$H$62</definedName>
    <definedName name="OSRRefH22_11x_0" localSheetId="47">'Div 3'!$H$103:$H$104</definedName>
    <definedName name="OSRRefH22_11x_0" localSheetId="68">'Div 4'!$H$73</definedName>
    <definedName name="OSRRefH22_11x_0" localSheetId="88">'Div 5'!$H$64:$H$66</definedName>
    <definedName name="OSRRefH22_11x_0" localSheetId="2">Summary!$H$111:$H$113</definedName>
    <definedName name="OSRRefH22_12x_0" localSheetId="41">'201'!$H$64:$H$65</definedName>
    <definedName name="OSRRefH22_12x_0" localSheetId="42">'202'!$H$64</definedName>
    <definedName name="OSRRefH22_12x_0" localSheetId="43">'203'!$H$69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5">'307'!$H$78:$H$81</definedName>
    <definedName name="OSRRefH22_12x_0" localSheetId="51">'308'!$H$82:$H$83</definedName>
    <definedName name="OSRRefH22_12x_0" localSheetId="64">'309'!$H$55</definedName>
    <definedName name="OSRRefH22_12x_0" localSheetId="63">'310'!$H$74:$H$75</definedName>
    <definedName name="OSRRefH22_12x_0" localSheetId="69">'310 &amp; 491'!$H$73</definedName>
    <definedName name="OSRRefH22_12x_0" localSheetId="52">'311'!$H$82:$H$83</definedName>
    <definedName name="OSRRefH22_12x_0" localSheetId="57">'315'!$H$86:$H$87</definedName>
    <definedName name="OSRRefH22_12x_0" localSheetId="65">'321'!$H$73</definedName>
    <definedName name="OSRRefH22_12x_0" localSheetId="66">'325'!$H$69:$H$71</definedName>
    <definedName name="OSRRefH22_12x_0" localSheetId="58">'326'!$H$71:$H$72</definedName>
    <definedName name="OSRRefH22_12x_0" localSheetId="56">'331'!$H$87</definedName>
    <definedName name="OSRRefH22_12x_0" localSheetId="54">'333'!$H$90</definedName>
    <definedName name="OSRRefH22_12x_0" localSheetId="71">'405'!$H$73:$H$81</definedName>
    <definedName name="OSRRefH22_12x_0" localSheetId="73">'411'!$H$67:$H$68</definedName>
    <definedName name="OSRRefH22_12x_0" localSheetId="77">'415'!$H$71:$H$74</definedName>
    <definedName name="OSRRefH22_12x_0" localSheetId="78">'418'!$H$79:$H$80</definedName>
    <definedName name="OSRRefH22_12x_0" localSheetId="84">'433'!$H$71:$H$74</definedName>
    <definedName name="OSRRefH22_12x_0" localSheetId="86">'444'!$H$70:$H$73</definedName>
    <definedName name="OSRRefH22_12x_0" localSheetId="87">'450'!$H$71:$H$74</definedName>
    <definedName name="OSRRefH22_12x_0" localSheetId="70">'491'!$H$72</definedName>
    <definedName name="OSRRefH22_12x_0" localSheetId="82">'492'!$H$71:$H$73</definedName>
    <definedName name="OSRRefH22_12x_0" localSheetId="89">'501'!$H$68</definedName>
    <definedName name="OSRRefH22_12x_0" localSheetId="39">'Div 2'!$H$64:$H$67</definedName>
    <definedName name="OSRRefH22_12x_0" localSheetId="47">'Div 3'!$H$106</definedName>
    <definedName name="OSRRefH22_12x_0" localSheetId="68">'Div 4'!$H$75</definedName>
    <definedName name="OSRRefH22_12x_0" localSheetId="88">'Div 5'!$H$68</definedName>
    <definedName name="OSRRefH22_12x_0" localSheetId="2">Summary!$H$115</definedName>
    <definedName name="OSRRefH22_13x_0" localSheetId="41">'201'!$H$67</definedName>
    <definedName name="OSRRefH22_13x_0" localSheetId="43">'203'!$H$71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55">'307'!$H$83</definedName>
    <definedName name="OSRRefH22_13x_0" localSheetId="51">'308'!$H$85</definedName>
    <definedName name="OSRRefH22_13x_0" localSheetId="63">'310'!$H$77:$H$79</definedName>
    <definedName name="OSRRefH22_13x_0" localSheetId="69">'310 &amp; 491'!$H$75:$H$78</definedName>
    <definedName name="OSRRefH22_13x_0" localSheetId="52">'311'!$H$85</definedName>
    <definedName name="OSRRefH22_13x_0" localSheetId="57">'315'!$H$89:$H$91</definedName>
    <definedName name="OSRRefH22_13x_0" localSheetId="66">'325'!$H$73:$H$78</definedName>
    <definedName name="OSRRefH22_13x_0" localSheetId="58">'326'!$H$74:$H$75</definedName>
    <definedName name="OSRRefH22_13x_0" localSheetId="56">'331'!$H$89</definedName>
    <definedName name="OSRRefH22_13x_0" localSheetId="54">'333'!$H$92</definedName>
    <definedName name="OSRRefH22_13x_0" localSheetId="71">'405'!$H$83</definedName>
    <definedName name="OSRRefH22_13x_0" localSheetId="73">'411'!$H$70</definedName>
    <definedName name="OSRRefH22_13x_0" localSheetId="77">'415'!$H$76</definedName>
    <definedName name="OSRRefH22_13x_0" localSheetId="78">'418'!$H$82</definedName>
    <definedName name="OSRRefH22_13x_0" localSheetId="84">'433'!$H$76:$H$83</definedName>
    <definedName name="OSRRefH22_13x_0" localSheetId="86">'444'!$H$75</definedName>
    <definedName name="OSRRefH22_13x_0" localSheetId="87">'450'!$H$76:$H$82</definedName>
    <definedName name="OSRRefH22_13x_0" localSheetId="70">'491'!$H$74:$H$77</definedName>
    <definedName name="OSRRefH22_13x_0" localSheetId="82">'492'!$H$75:$H$78</definedName>
    <definedName name="OSRRefH22_13x_0" localSheetId="89">'501'!$H$70</definedName>
    <definedName name="OSRRefH22_13x_0" localSheetId="39">'Div 2'!$H$69:$H$72</definedName>
    <definedName name="OSRRefH22_13x_0" localSheetId="47">'Div 3'!$H$108</definedName>
    <definedName name="OSRRefH22_13x_0" localSheetId="68">'Div 4'!$H$77</definedName>
    <definedName name="OSRRefH22_13x_0" localSheetId="88">'Div 5'!$H$70</definedName>
    <definedName name="OSRRefH22_13x_0" localSheetId="2">Summary!$H$117</definedName>
    <definedName name="OSRRefH22_14x_0" localSheetId="41">'201'!$H$69</definedName>
    <definedName name="OSRRefH22_14x_0" localSheetId="43">'203'!$H$73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3">'310'!$H$81:$H$86</definedName>
    <definedName name="OSRRefH22_14x_0" localSheetId="69">'310 &amp; 491'!$H$80:$H$81</definedName>
    <definedName name="OSRRefH22_14x_0" localSheetId="57">'315'!$H$93:$H$94</definedName>
    <definedName name="OSRRefH22_14x_0" localSheetId="66">'325'!$H$80:$H$81</definedName>
    <definedName name="OSRRefH22_14x_0" localSheetId="58">'326'!$H$77:$H$79</definedName>
    <definedName name="OSRRefH22_14x_0" localSheetId="56">'331'!$H$91:$H$92</definedName>
    <definedName name="OSRRefH22_14x_0" localSheetId="54">'333'!$H$94:$H$95</definedName>
    <definedName name="OSRRefH22_14x_0" localSheetId="71">'405'!$H$85</definedName>
    <definedName name="OSRRefH22_14x_0" localSheetId="73">'411'!$H$72</definedName>
    <definedName name="OSRRefH22_14x_0" localSheetId="77">'415'!$H$78:$H$85</definedName>
    <definedName name="OSRRefH22_14x_0" localSheetId="78">'418'!$H$84</definedName>
    <definedName name="OSRRefH22_14x_0" localSheetId="84">'433'!$H$85</definedName>
    <definedName name="OSRRefH22_14x_0" localSheetId="86">'444'!$H$77:$H$85</definedName>
    <definedName name="OSRRefH22_14x_0" localSheetId="87">'450'!$H$84</definedName>
    <definedName name="OSRRefH22_14x_0" localSheetId="70">'491'!$H$79</definedName>
    <definedName name="OSRRefH22_14x_0" localSheetId="82">'492'!$H$80</definedName>
    <definedName name="OSRRefH22_14x_0" localSheetId="39">'Div 2'!$H$74:$H$75</definedName>
    <definedName name="OSRRefH22_14x_0" localSheetId="47">'Div 3'!$H$110</definedName>
    <definedName name="OSRRefH22_14x_0" localSheetId="68">'Div 4'!$H$79</definedName>
    <definedName name="OSRRefH22_14x_0" localSheetId="2">Summary!$H$119</definedName>
    <definedName name="OSRRefH22_15x_0" localSheetId="41">'201'!$H$71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3">'310'!$H$88:$H$89</definedName>
    <definedName name="OSRRefH22_15x_0" localSheetId="69">'310 &amp; 491'!$H$83:$H$87</definedName>
    <definedName name="OSRRefH22_15x_0" localSheetId="57">'315'!$H$96:$H$99</definedName>
    <definedName name="OSRRefH22_15x_0" localSheetId="66">'325'!$H$83</definedName>
    <definedName name="OSRRefH22_15x_0" localSheetId="58">'326'!$H$81</definedName>
    <definedName name="OSRRefH22_15x_0" localSheetId="56">'331'!$H$94:$H$96</definedName>
    <definedName name="OSRRefH22_15x_0" localSheetId="54">'333'!$H$97:$H$99</definedName>
    <definedName name="OSRRefH22_15x_0" localSheetId="71">'405'!$H$87</definedName>
    <definedName name="OSRRefH22_15x_0" localSheetId="73">'411'!$H$74:$H$75</definedName>
    <definedName name="OSRRefH22_15x_0" localSheetId="77">'415'!$H$87:$H$88</definedName>
    <definedName name="OSRRefH22_15x_0" localSheetId="78">'418'!$H$86</definedName>
    <definedName name="OSRRefH22_15x_0" localSheetId="84">'433'!$H$87</definedName>
    <definedName name="OSRRefH22_15x_0" localSheetId="86">'444'!$H$87</definedName>
    <definedName name="OSRRefH22_15x_0" localSheetId="87">'450'!$H$86</definedName>
    <definedName name="OSRRefH22_15x_0" localSheetId="70">'491'!$H$81:$H$85</definedName>
    <definedName name="OSRRefH22_15x_0" localSheetId="82">'492'!$H$82:$H$90</definedName>
    <definedName name="OSRRefH22_15x_0" localSheetId="39">'Div 2'!$H$77:$H$78</definedName>
    <definedName name="OSRRefH22_15x_0" localSheetId="47">'Div 3'!$H$112</definedName>
    <definedName name="OSRRefH22_15x_0" localSheetId="68">'Div 4'!$H$81:$H$84</definedName>
    <definedName name="OSRRefH22_15x_0" localSheetId="2">Summary!$H$121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3">'310'!$H$91</definedName>
    <definedName name="OSRRefH22_16x_0" localSheetId="69">'310 &amp; 491'!$H$89</definedName>
    <definedName name="OSRRefH22_16x_0" localSheetId="57">'315'!$H$101</definedName>
    <definedName name="OSRRefH22_16x_0" localSheetId="66">'325'!$H$85</definedName>
    <definedName name="OSRRefH22_16x_0" localSheetId="58">'326'!$H$83:$H$84</definedName>
    <definedName name="OSRRefH22_16x_0" localSheetId="56">'331'!$H$98:$H$99</definedName>
    <definedName name="OSRRefH22_16x_0" localSheetId="54">'333'!$H$101:$H$103</definedName>
    <definedName name="OSRRefH22_16x_0" localSheetId="71">'405'!$H$89</definedName>
    <definedName name="OSRRefH22_16x_0" localSheetId="73">'411'!$H$77</definedName>
    <definedName name="OSRRefH22_16x_0" localSheetId="77">'415'!$H$90</definedName>
    <definedName name="OSRRefH22_16x_0" localSheetId="86">'444'!$H$89</definedName>
    <definedName name="OSRRefH22_16x_0" localSheetId="87">'450'!$H$88</definedName>
    <definedName name="OSRRefH22_16x_0" localSheetId="70">'491'!$H$87</definedName>
    <definedName name="OSRRefH22_16x_0" localSheetId="82">'492'!$H$92:$H$93</definedName>
    <definedName name="OSRRefH22_16x_0" localSheetId="39">'Div 2'!$H$80:$H$85</definedName>
    <definedName name="OSRRefH22_16x_0" localSheetId="47">'Div 3'!$H$114</definedName>
    <definedName name="OSRRefH22_16x_0" localSheetId="68">'Div 4'!$H$86</definedName>
    <definedName name="OSRRefH22_16x_0" localSheetId="2">Summary!$H$123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63">'310'!$H$93</definedName>
    <definedName name="OSRRefH22_17x_0" localSheetId="69">'310 &amp; 491'!$H$91:$H$100</definedName>
    <definedName name="OSRRefH22_17x_0" localSheetId="57">'315'!$H$103</definedName>
    <definedName name="OSRRefH22_17x_0" localSheetId="58">'326'!$H$86</definedName>
    <definedName name="OSRRefH22_17x_0" localSheetId="56">'331'!$H$101:$H$102</definedName>
    <definedName name="OSRRefH22_17x_0" localSheetId="54">'333'!$H$105:$H$106</definedName>
    <definedName name="OSRRefH22_17x_0" localSheetId="77">'415'!$H$92</definedName>
    <definedName name="OSRRefH22_17x_0" localSheetId="70">'491'!$H$89:$H$98</definedName>
    <definedName name="OSRRefH22_17x_0" localSheetId="82">'492'!$H$95</definedName>
    <definedName name="OSRRefH22_17x_0" localSheetId="39">'Div 2'!$H$87:$H$88</definedName>
    <definedName name="OSRRefH22_17x_0" localSheetId="47">'Div 3'!$H$116:$H$119</definedName>
    <definedName name="OSRRefH22_17x_0" localSheetId="68">'Div 4'!$H$88:$H$92</definedName>
    <definedName name="OSRRefH22_17x_0" localSheetId="2">Summary!$H$125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69">'310 &amp; 491'!$H$102:$H$103</definedName>
    <definedName name="OSRRefH22_18x_0" localSheetId="57">'315'!$H$105</definedName>
    <definedName name="OSRRefH22_18x_0" localSheetId="56">'331'!$H$104:$H$108</definedName>
    <definedName name="OSRRefH22_18x_0" localSheetId="54">'333'!$H$108:$H$113</definedName>
    <definedName name="OSRRefH22_18x_0" localSheetId="70">'491'!$H$100:$H$101</definedName>
    <definedName name="OSRRefH22_18x_0" localSheetId="82">'492'!$H$97:$H$98</definedName>
    <definedName name="OSRRefH22_18x_0" localSheetId="39">'Div 2'!$H$90</definedName>
    <definedName name="OSRRefH22_18x_0" localSheetId="47">'Div 3'!$H$121:$H$124</definedName>
    <definedName name="OSRRefH22_18x_0" localSheetId="68">'Div 4'!$H$94:$H$95</definedName>
    <definedName name="OSRRefH22_18x_0" localSheetId="2">Summary!$H$127:$H$130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69">'310 &amp; 491'!$H$105</definedName>
    <definedName name="OSRRefH22_19x_0" localSheetId="56">'331'!$H$110</definedName>
    <definedName name="OSRRefH22_19x_0" localSheetId="54">'333'!$H$115</definedName>
    <definedName name="OSRRefH22_19x_0" localSheetId="70">'491'!$H$103</definedName>
    <definedName name="OSRRefH22_19x_0" localSheetId="39">'Div 2'!$H$92:$H$93</definedName>
    <definedName name="OSRRefH22_19x_0" localSheetId="47">'Div 3'!$H$126:$H$129</definedName>
    <definedName name="OSRRefH22_19x_0" localSheetId="68">'Div 4'!$H$97:$H$106</definedName>
    <definedName name="OSRRefH22_19x_0" localSheetId="2">Summary!$H$132:$H$135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5">'307'!$H$44:$H$53</definedName>
    <definedName name="OSRRefH22_1x_0" localSheetId="51">'308'!$H$46:$H$55</definedName>
    <definedName name="OSRRefH22_1x_0" localSheetId="64">'309'!$H$29:$H$30</definedName>
    <definedName name="OSRRefH22_1x_0" localSheetId="63">'310'!$H$40:$H$49</definedName>
    <definedName name="OSRRefH22_1x_0" localSheetId="69">'310 &amp; 491'!$H$40:$H$49</definedName>
    <definedName name="OSRRefH22_1x_0" localSheetId="52">'311'!$H$46:$H$55</definedName>
    <definedName name="OSRRefH22_1x_0" localSheetId="57">'315'!$H$54:$H$63</definedName>
    <definedName name="OSRRefH22_1x_0" localSheetId="60">'316'!$H$37:$H$46</definedName>
    <definedName name="OSRRefH22_1x_0" localSheetId="62">'317'!$H$46:$H$55</definedName>
    <definedName name="OSRRefH22_1x_0" localSheetId="65">'321'!$H$35:$H$44</definedName>
    <definedName name="OSRRefH22_1x_0" localSheetId="66">'325'!$H$35:$H$44</definedName>
    <definedName name="OSRRefH22_1x_0" localSheetId="58">'326'!$H$38:$H$47</definedName>
    <definedName name="OSRRefH22_1x_0" localSheetId="67">'327'!$H$28</definedName>
    <definedName name="OSRRefH22_1x_0" localSheetId="56">'331'!$H$54:$H$63</definedName>
    <definedName name="OSRRefH22_1x_0" localSheetId="59">'332'!$H$37:$H$46</definedName>
    <definedName name="OSRRefH22_1x_0" localSheetId="54">'333'!$H$56:$H$65</definedName>
    <definedName name="OSRRefH22_1x_0" localSheetId="71">'405'!$H$37:$H$46</definedName>
    <definedName name="OSRRefH22_1x_0" localSheetId="72">'406'!$H$22</definedName>
    <definedName name="OSRRefH22_1x_0" localSheetId="73">'411'!$H$30:$H$39</definedName>
    <definedName name="OSRRefH22_1x_0" localSheetId="74">'412'!$H$22</definedName>
    <definedName name="OSRRefH22_1x_0" localSheetId="75">'413'!$H$22</definedName>
    <definedName name="OSRRefH22_1x_0" localSheetId="76">'414'!$H$22</definedName>
    <definedName name="OSRRefH22_1x_0" localSheetId="77">'415'!$H$38:$H$47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'425'!$H$24</definedName>
    <definedName name="OSRRefH22_1x_0" localSheetId="83">'430'!$H$30:$H$39</definedName>
    <definedName name="OSRRefH22_1x_0" localSheetId="84">'433'!$H$38:$H$47</definedName>
    <definedName name="OSRRefH22_1x_0" localSheetId="85">'435'!$H$26</definedName>
    <definedName name="OSRRefH22_1x_0" localSheetId="86">'444'!$H$38:$H$47</definedName>
    <definedName name="OSRRefH22_1x_0" localSheetId="87">'450'!$H$38:$H$47</definedName>
    <definedName name="OSRRefH22_1x_0" localSheetId="70">'491'!$H$39:$H$48</definedName>
    <definedName name="OSRRefH22_1x_0" localSheetId="82">'492'!$H$40:$H$49</definedName>
    <definedName name="OSRRefH22_1x_0" localSheetId="89">'501'!$H$32:$H$41</definedName>
    <definedName name="OSRRefH22_1x_0" localSheetId="39">'Div 2'!$H$32:$H$41</definedName>
    <definedName name="OSRRefH22_1x_0" localSheetId="47">'Div 3'!$H$71:$H$80</definedName>
    <definedName name="OSRRefH22_1x_0" localSheetId="68">'Div 4'!$H$42:$H$51</definedName>
    <definedName name="OSRRefH22_1x_0" localSheetId="88">'Div 5'!$H$32:$H$41</definedName>
    <definedName name="OSRRefH22_1x_0" localSheetId="61">'Div 6'!$H$46:$H$55</definedName>
    <definedName name="OSRRefH22_1x_0" localSheetId="2">Summary!$H$79:$H$88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69">'310 &amp; 491'!$H$107:$H$108</definedName>
    <definedName name="OSRRefH22_20x_0" localSheetId="56">'331'!$H$112</definedName>
    <definedName name="OSRRefH22_20x_0" localSheetId="54">'333'!$H$117</definedName>
    <definedName name="OSRRefH22_20x_0" localSheetId="70">'491'!$H$105:$H$106</definedName>
    <definedName name="OSRRefH22_20x_0" localSheetId="47">'Div 3'!$H$131:$H$132</definedName>
    <definedName name="OSRRefH22_20x_0" localSheetId="68">'Div 4'!$H$108:$H$109</definedName>
    <definedName name="OSRRefH22_20x_0" localSheetId="2">Summary!$H$137:$H$141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'301'!$H$92:$H$94</definedName>
    <definedName name="OSRRefH22_21x_0" localSheetId="69">'310 &amp; 491'!$H$110</definedName>
    <definedName name="OSRRefH22_21x_0" localSheetId="56">'331'!$H$114:$H$115</definedName>
    <definedName name="OSRRefH22_21x_0" localSheetId="54">'333'!$H$119:$H$120</definedName>
    <definedName name="OSRRefH22_21x_0" localSheetId="70">'491'!$H$108</definedName>
    <definedName name="OSRRefH22_21x_0" localSheetId="47">'Div 3'!$H$134:$H$140</definedName>
    <definedName name="OSRRefH22_21x_0" localSheetId="68">'Div 4'!$H$111</definedName>
    <definedName name="OSRRefH22_21x_0" localSheetId="2">Summary!$H$143:$H$144</definedName>
    <definedName name="OSRRefH22_22x_0" localSheetId="48">'300'!$H$136</definedName>
    <definedName name="OSRRefH22_22x_0" localSheetId="49">'300 &amp; 317'!$H$142</definedName>
    <definedName name="OSRRefH22_22x_0" localSheetId="50">'301'!$H$96</definedName>
    <definedName name="OSRRefH22_22x_0" localSheetId="56">'331'!$H$117</definedName>
    <definedName name="OSRRefH22_22x_0" localSheetId="54">'333'!$H$122</definedName>
    <definedName name="OSRRefH22_22x_0" localSheetId="47">'Div 3'!$H$142:$H$143</definedName>
    <definedName name="OSRRefH22_22x_0" localSheetId="68">'Div 4'!$H$113:$H$114</definedName>
    <definedName name="OSRRefH22_22x_0" localSheetId="2">Summary!$H$146:$H$155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3'!$H$145</definedName>
    <definedName name="OSRRefH22_23x_0" localSheetId="68">'Div 4'!$H$116</definedName>
    <definedName name="OSRRefH22_23x_0" localSheetId="2">Summary!$H$157:$H$158</definedName>
    <definedName name="OSRRefH22_24x_0" localSheetId="48">'300'!$H$142</definedName>
    <definedName name="OSRRefH22_24x_0" localSheetId="49">'300 &amp; 317'!$H$148</definedName>
    <definedName name="OSRRefH22_24x_0" localSheetId="47">'Div 3'!$H$147:$H$149</definedName>
    <definedName name="OSRRefH22_24x_0" localSheetId="2">Summary!$H$160</definedName>
    <definedName name="OSRRefH22_25x_0" localSheetId="47">'Div 3'!$H$151</definedName>
    <definedName name="OSRRefH22_25x_0" localSheetId="2">Summary!$H$162:$H$164</definedName>
    <definedName name="OSRRefH22_26x_0" localSheetId="2">Summary!$H$166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5">'307'!$H$55</definedName>
    <definedName name="OSRRefH22_2x_0" localSheetId="51">'308'!$H$57</definedName>
    <definedName name="OSRRefH22_2x_0" localSheetId="64">'309'!$H$32</definedName>
    <definedName name="OSRRefH22_2x_0" localSheetId="63">'310'!$H$51</definedName>
    <definedName name="OSRRefH22_2x_0" localSheetId="69">'310 &amp; 491'!$H$51</definedName>
    <definedName name="OSRRefH22_2x_0" localSheetId="52">'311'!$H$57</definedName>
    <definedName name="OSRRefH22_2x_0" localSheetId="57">'315'!$H$65</definedName>
    <definedName name="OSRRefH22_2x_0" localSheetId="60">'316'!$H$48</definedName>
    <definedName name="OSRRefH22_2x_0" localSheetId="62">'317'!$H$57</definedName>
    <definedName name="OSRRefH22_2x_0" localSheetId="65">'321'!$H$46</definedName>
    <definedName name="OSRRefH22_2x_0" localSheetId="66">'325'!$H$46</definedName>
    <definedName name="OSRRefH22_2x_0" localSheetId="58">'326'!$H$49</definedName>
    <definedName name="OSRRefH22_2x_0" localSheetId="56">'331'!$H$65</definedName>
    <definedName name="OSRRefH22_2x_0" localSheetId="59">'332'!$H$48</definedName>
    <definedName name="OSRRefH22_2x_0" localSheetId="54">'333'!$H$67</definedName>
    <definedName name="OSRRefH22_2x_0" localSheetId="71">'405'!$H$48</definedName>
    <definedName name="OSRRefH22_2x_0" localSheetId="73">'411'!$H$41</definedName>
    <definedName name="OSRRefH22_2x_0" localSheetId="74">'412'!$H$24</definedName>
    <definedName name="OSRRefH22_2x_0" localSheetId="75">'413'!$H$24</definedName>
    <definedName name="OSRRefH22_2x_0" localSheetId="76">'414'!$H$24</definedName>
    <definedName name="OSRRefH22_2x_0" localSheetId="77">'415'!$H$49</definedName>
    <definedName name="OSRRefH22_2x_0" localSheetId="78">'418'!$H$45</definedName>
    <definedName name="OSRRefH22_2x_0" localSheetId="79">'423'!$H$40</definedName>
    <definedName name="OSRRefH22_2x_0" localSheetId="80">'424'!$H$24</definedName>
    <definedName name="OSRRefH22_2x_0" localSheetId="81">'425'!$H$26</definedName>
    <definedName name="OSRRefH22_2x_0" localSheetId="83">'430'!$H$41</definedName>
    <definedName name="OSRRefH22_2x_0" localSheetId="84">'433'!$H$49</definedName>
    <definedName name="OSRRefH22_2x_0" localSheetId="85">'435'!$H$28</definedName>
    <definedName name="OSRRefH22_2x_0" localSheetId="86">'444'!$H$49</definedName>
    <definedName name="OSRRefH22_2x_0" localSheetId="87">'450'!$H$49</definedName>
    <definedName name="OSRRefH22_2x_0" localSheetId="70">'491'!$H$50</definedName>
    <definedName name="OSRRefH22_2x_0" localSheetId="82">'492'!$H$51</definedName>
    <definedName name="OSRRefH22_2x_0" localSheetId="89">'501'!$H$43</definedName>
    <definedName name="OSRRefH22_2x_0" localSheetId="39">'Div 2'!$H$43</definedName>
    <definedName name="OSRRefH22_2x_0" localSheetId="47">'Div 3'!$H$82</definedName>
    <definedName name="OSRRefH22_2x_0" localSheetId="68">'Div 4'!$H$53</definedName>
    <definedName name="OSRRefH22_2x_0" localSheetId="88">'Div 5'!$H$43</definedName>
    <definedName name="OSRRefH22_2x_0" localSheetId="61">'Div 6'!$H$57</definedName>
    <definedName name="OSRRefH22_2x_0" localSheetId="2">Summary!$H$90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5">'307'!$H$57</definedName>
    <definedName name="OSRRefH22_3x_0" localSheetId="51">'308'!$H$59</definedName>
    <definedName name="OSRRefH22_3x_0" localSheetId="64">'309'!$H$34</definedName>
    <definedName name="OSRRefH22_3x_0" localSheetId="63">'310'!$H$53</definedName>
    <definedName name="OSRRefH22_3x_0" localSheetId="69">'310 &amp; 491'!$H$53</definedName>
    <definedName name="OSRRefH22_3x_0" localSheetId="52">'311'!$H$59</definedName>
    <definedName name="OSRRefH22_3x_0" localSheetId="57">'315'!$H$67</definedName>
    <definedName name="OSRRefH22_3x_0" localSheetId="60">'316'!$H$50</definedName>
    <definedName name="OSRRefH22_3x_0" localSheetId="62">'317'!$H$59</definedName>
    <definedName name="OSRRefH22_3x_0" localSheetId="65">'321'!$H$48</definedName>
    <definedName name="OSRRefH22_3x_0" localSheetId="66">'325'!$H$48</definedName>
    <definedName name="OSRRefH22_3x_0" localSheetId="58">'326'!$H$51</definedName>
    <definedName name="OSRRefH22_3x_0" localSheetId="56">'331'!$H$67</definedName>
    <definedName name="OSRRefH22_3x_0" localSheetId="59">'332'!$H$50</definedName>
    <definedName name="OSRRefH22_3x_0" localSheetId="54">'333'!$H$69</definedName>
    <definedName name="OSRRefH22_3x_0" localSheetId="71">'405'!$H$50</definedName>
    <definedName name="OSRRefH22_3x_0" localSheetId="73">'411'!$H$43:$H$44</definedName>
    <definedName name="OSRRefH22_3x_0" localSheetId="74">'412'!$H$26</definedName>
    <definedName name="OSRRefH22_3x_0" localSheetId="77">'415'!$H$51</definedName>
    <definedName name="OSRRefH22_3x_0" localSheetId="78">'418'!$H$47</definedName>
    <definedName name="OSRRefH22_3x_0" localSheetId="79">'423'!$H$42</definedName>
    <definedName name="OSRRefH22_3x_0" localSheetId="81">'425'!$H$28</definedName>
    <definedName name="OSRRefH22_3x_0" localSheetId="83">'430'!$H$43</definedName>
    <definedName name="OSRRefH22_3x_0" localSheetId="84">'433'!$H$51</definedName>
    <definedName name="OSRRefH22_3x_0" localSheetId="85">'435'!$H$30</definedName>
    <definedName name="OSRRefH22_3x_0" localSheetId="86">'444'!$H$51</definedName>
    <definedName name="OSRRefH22_3x_0" localSheetId="87">'450'!$H$51</definedName>
    <definedName name="OSRRefH22_3x_0" localSheetId="70">'491'!$H$52</definedName>
    <definedName name="OSRRefH22_3x_0" localSheetId="82">'492'!$H$53</definedName>
    <definedName name="OSRRefH22_3x_0" localSheetId="89">'501'!$H$45</definedName>
    <definedName name="OSRRefH22_3x_0" localSheetId="39">'Div 2'!$H$45</definedName>
    <definedName name="OSRRefH22_3x_0" localSheetId="47">'Div 3'!$H$84</definedName>
    <definedName name="OSRRefH22_3x_0" localSheetId="68">'Div 4'!$H$55</definedName>
    <definedName name="OSRRefH22_3x_0" localSheetId="88">'Div 5'!$H$45</definedName>
    <definedName name="OSRRefH22_3x_0" localSheetId="61">'Div 6'!$H$59</definedName>
    <definedName name="OSRRefH22_3x_0" localSheetId="2">Summary!$H$92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'204'!$H$47</definedName>
    <definedName name="OSRRefH22_4x_0" localSheetId="45">'205'!$H$45:$H$47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5">'307'!$H$59</definedName>
    <definedName name="OSRRefH22_4x_0" localSheetId="51">'308'!$H$61</definedName>
    <definedName name="OSRRefH22_4x_0" localSheetId="64">'309'!$H$36</definedName>
    <definedName name="OSRRefH22_4x_0" localSheetId="63">'310'!$H$55</definedName>
    <definedName name="OSRRefH22_4x_0" localSheetId="69">'310 &amp; 491'!$H$55</definedName>
    <definedName name="OSRRefH22_4x_0" localSheetId="52">'311'!$H$61</definedName>
    <definedName name="OSRRefH22_4x_0" localSheetId="57">'315'!$H$69</definedName>
    <definedName name="OSRRefH22_4x_0" localSheetId="60">'316'!$H$52</definedName>
    <definedName name="OSRRefH22_4x_0" localSheetId="62">'317'!$H$61</definedName>
    <definedName name="OSRRefH22_4x_0" localSheetId="65">'321'!$H$50</definedName>
    <definedName name="OSRRefH22_4x_0" localSheetId="66">'325'!$H$50</definedName>
    <definedName name="OSRRefH22_4x_0" localSheetId="58">'326'!$H$53</definedName>
    <definedName name="OSRRefH22_4x_0" localSheetId="56">'331'!$H$69</definedName>
    <definedName name="OSRRefH22_4x_0" localSheetId="59">'332'!$H$52</definedName>
    <definedName name="OSRRefH22_4x_0" localSheetId="54">'333'!$H$71</definedName>
    <definedName name="OSRRefH22_4x_0" localSheetId="71">'405'!$H$52</definedName>
    <definedName name="OSRRefH22_4x_0" localSheetId="73">'411'!$H$46</definedName>
    <definedName name="OSRRefH22_4x_0" localSheetId="74">'412'!$H$28</definedName>
    <definedName name="OSRRefH22_4x_0" localSheetId="77">'415'!$H$53</definedName>
    <definedName name="OSRRefH22_4x_0" localSheetId="78">'418'!$H$49:$H$50</definedName>
    <definedName name="OSRRefH22_4x_0" localSheetId="79">'423'!$H$44</definedName>
    <definedName name="OSRRefH22_4x_0" localSheetId="81">'425'!$H$30</definedName>
    <definedName name="OSRRefH22_4x_0" localSheetId="83">'430'!$H$45</definedName>
    <definedName name="OSRRefH22_4x_0" localSheetId="84">'433'!$H$53</definedName>
    <definedName name="OSRRefH22_4x_0" localSheetId="85">'435'!$H$32</definedName>
    <definedName name="OSRRefH22_4x_0" localSheetId="86">'444'!$H$53</definedName>
    <definedName name="OSRRefH22_4x_0" localSheetId="87">'450'!$H$53</definedName>
    <definedName name="OSRRefH22_4x_0" localSheetId="70">'491'!$H$54</definedName>
    <definedName name="OSRRefH22_4x_0" localSheetId="82">'492'!$H$55</definedName>
    <definedName name="OSRRefH22_4x_0" localSheetId="89">'501'!$H$47</definedName>
    <definedName name="OSRRefH22_4x_0" localSheetId="39">'Div 2'!$H$47</definedName>
    <definedName name="OSRRefH22_4x_0" localSheetId="47">'Div 3'!$H$86</definedName>
    <definedName name="OSRRefH22_4x_0" localSheetId="68">'Div 4'!$H$57</definedName>
    <definedName name="OSRRefH22_4x_0" localSheetId="88">'Div 5'!$H$47</definedName>
    <definedName name="OSRRefH22_4x_0" localSheetId="61">'Div 6'!$H$61</definedName>
    <definedName name="OSRRefH22_4x_0" localSheetId="2">Summary!$H$94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'204'!$H$49:$H$52</definedName>
    <definedName name="OSRRefH22_5x_0" localSheetId="45">'205'!$H$49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5">'307'!$H$61:$H$62</definedName>
    <definedName name="OSRRefH22_5x_0" localSheetId="51">'308'!$H$63</definedName>
    <definedName name="OSRRefH22_5x_0" localSheetId="64">'309'!$H$38</definedName>
    <definedName name="OSRRefH22_5x_0" localSheetId="63">'310'!$H$57:$H$58</definedName>
    <definedName name="OSRRefH22_5x_0" localSheetId="69">'310 &amp; 491'!$H$57:$H$58</definedName>
    <definedName name="OSRRefH22_5x_0" localSheetId="52">'311'!$H$63</definedName>
    <definedName name="OSRRefH22_5x_0" localSheetId="57">'315'!$H$71</definedName>
    <definedName name="OSRRefH22_5x_0" localSheetId="60">'316'!$H$54:$H$55</definedName>
    <definedName name="OSRRefH22_5x_0" localSheetId="62">'317'!$H$63</definedName>
    <definedName name="OSRRefH22_5x_0" localSheetId="65">'321'!$H$52</definedName>
    <definedName name="OSRRefH22_5x_0" localSheetId="66">'325'!$H$52:$H$53</definedName>
    <definedName name="OSRRefH22_5x_0" localSheetId="58">'326'!$H$55</definedName>
    <definedName name="OSRRefH22_5x_0" localSheetId="56">'331'!$H$71</definedName>
    <definedName name="OSRRefH22_5x_0" localSheetId="59">'332'!$H$54:$H$55</definedName>
    <definedName name="OSRRefH22_5x_0" localSheetId="54">'333'!$H$73:$H$74</definedName>
    <definedName name="OSRRefH22_5x_0" localSheetId="71">'405'!$H$54:$H$55</definedName>
    <definedName name="OSRRefH22_5x_0" localSheetId="73">'411'!$H$48</definedName>
    <definedName name="OSRRefH22_5x_0" localSheetId="77">'415'!$H$55:$H$56</definedName>
    <definedName name="OSRRefH22_5x_0" localSheetId="78">'418'!$H$52</definedName>
    <definedName name="OSRRefH22_5x_0" localSheetId="79">'423'!$H$46</definedName>
    <definedName name="OSRRefH22_5x_0" localSheetId="81">'425'!$H$32</definedName>
    <definedName name="OSRRefH22_5x_0" localSheetId="83">'430'!$H$47:$H$49</definedName>
    <definedName name="OSRRefH22_5x_0" localSheetId="84">'433'!$H$55</definedName>
    <definedName name="OSRRefH22_5x_0" localSheetId="86">'444'!$H$55</definedName>
    <definedName name="OSRRefH22_5x_0" localSheetId="87">'450'!$H$55</definedName>
    <definedName name="OSRRefH22_5x_0" localSheetId="70">'491'!$H$56:$H$57</definedName>
    <definedName name="OSRRefH22_5x_0" localSheetId="82">'492'!$H$57</definedName>
    <definedName name="OSRRefH22_5x_0" localSheetId="89">'501'!$H$49:$H$50</definedName>
    <definedName name="OSRRefH22_5x_0" localSheetId="39">'Div 2'!$H$49:$H$50</definedName>
    <definedName name="OSRRefH22_5x_0" localSheetId="47">'Div 3'!$H$88:$H$89</definedName>
    <definedName name="OSRRefH22_5x_0" localSheetId="68">'Div 4'!$H$59:$H$60</definedName>
    <definedName name="OSRRefH22_5x_0" localSheetId="88">'Div 5'!$H$49:$H$50</definedName>
    <definedName name="OSRRefH22_5x_0" localSheetId="61">'Div 6'!$H$63</definedName>
    <definedName name="OSRRefH22_5x_0" localSheetId="2">Summary!$H$96:$H$97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'204'!$H$54:$H$55</definedName>
    <definedName name="OSRRefH22_6x_0" localSheetId="45">'205'!$H$51:$H$53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5">'307'!$H$64</definedName>
    <definedName name="OSRRefH22_6x_0" localSheetId="51">'308'!$H$65:$H$66</definedName>
    <definedName name="OSRRefH22_6x_0" localSheetId="64">'309'!$H$40</definedName>
    <definedName name="OSRRefH22_6x_0" localSheetId="63">'310'!$H$60</definedName>
    <definedName name="OSRRefH22_6x_0" localSheetId="69">'310 &amp; 491'!$H$60</definedName>
    <definedName name="OSRRefH22_6x_0" localSheetId="52">'311'!$H$65:$H$66</definedName>
    <definedName name="OSRRefH22_6x_0" localSheetId="57">'315'!$H$73</definedName>
    <definedName name="OSRRefH22_6x_0" localSheetId="60">'316'!$H$57</definedName>
    <definedName name="OSRRefH22_6x_0" localSheetId="62">'317'!$H$65</definedName>
    <definedName name="OSRRefH22_6x_0" localSheetId="65">'321'!$H$54</definedName>
    <definedName name="OSRRefH22_6x_0" localSheetId="66">'325'!$H$55</definedName>
    <definedName name="OSRRefH22_6x_0" localSheetId="58">'326'!$H$57:$H$58</definedName>
    <definedName name="OSRRefH22_6x_0" localSheetId="56">'331'!$H$73</definedName>
    <definedName name="OSRRefH22_6x_0" localSheetId="59">'332'!$H$57</definedName>
    <definedName name="OSRRefH22_6x_0" localSheetId="54">'333'!$H$76</definedName>
    <definedName name="OSRRefH22_6x_0" localSheetId="71">'405'!$H$57</definedName>
    <definedName name="OSRRefH22_6x_0" localSheetId="73">'411'!$H$50</definedName>
    <definedName name="OSRRefH22_6x_0" localSheetId="77">'415'!$H$58</definedName>
    <definedName name="OSRRefH22_6x_0" localSheetId="78">'418'!$H$54</definedName>
    <definedName name="OSRRefH22_6x_0" localSheetId="83">'430'!$H$51:$H$52</definedName>
    <definedName name="OSRRefH22_6x_0" localSheetId="84">'433'!$H$57</definedName>
    <definedName name="OSRRefH22_6x_0" localSheetId="86">'444'!$H$57</definedName>
    <definedName name="OSRRefH22_6x_0" localSheetId="87">'450'!$H$57</definedName>
    <definedName name="OSRRefH22_6x_0" localSheetId="70">'491'!$H$59</definedName>
    <definedName name="OSRRefH22_6x_0" localSheetId="82">'492'!$H$59</definedName>
    <definedName name="OSRRefH22_6x_0" localSheetId="89">'501'!$H$52</definedName>
    <definedName name="OSRRefH22_6x_0" localSheetId="39">'Div 2'!$H$52</definedName>
    <definedName name="OSRRefH22_6x_0" localSheetId="47">'Div 3'!$H$91:$H$92</definedName>
    <definedName name="OSRRefH22_6x_0" localSheetId="68">'Div 4'!$H$62</definedName>
    <definedName name="OSRRefH22_6x_0" localSheetId="88">'Div 5'!$H$52</definedName>
    <definedName name="OSRRefH22_6x_0" localSheetId="61">'Div 6'!$H$65</definedName>
    <definedName name="OSRRefH22_6x_0" localSheetId="2">Summary!$H$99:$H$100</definedName>
    <definedName name="OSRRefH22_7x_0" localSheetId="41">'201'!$H$51</definedName>
    <definedName name="OSRRefH22_7x_0" localSheetId="42">'202'!$H$51:$H$53</definedName>
    <definedName name="OSRRefH22_7x_0" localSheetId="43">'203'!$H$52</definedName>
    <definedName name="OSRRefH22_7x_0" localSheetId="44">'204'!$H$57</definedName>
    <definedName name="OSRRefH22_7x_0" localSheetId="45">'205'!$H$55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5">'307'!$H$66</definedName>
    <definedName name="OSRRefH22_7x_0" localSheetId="51">'308'!$H$68</definedName>
    <definedName name="OSRRefH22_7x_0" localSheetId="64">'309'!$H$42</definedName>
    <definedName name="OSRRefH22_7x_0" localSheetId="63">'310'!$H$62</definedName>
    <definedName name="OSRRefH22_7x_0" localSheetId="69">'310 &amp; 491'!$H$62</definedName>
    <definedName name="OSRRefH22_7x_0" localSheetId="52">'311'!$H$68</definedName>
    <definedName name="OSRRefH22_7x_0" localSheetId="57">'315'!$H$75</definedName>
    <definedName name="OSRRefH22_7x_0" localSheetId="60">'316'!$H$59:$H$61</definedName>
    <definedName name="OSRRefH22_7x_0" localSheetId="62">'317'!$H$67</definedName>
    <definedName name="OSRRefH22_7x_0" localSheetId="65">'321'!$H$56:$H$57</definedName>
    <definedName name="OSRRefH22_7x_0" localSheetId="66">'325'!$H$57</definedName>
    <definedName name="OSRRefH22_7x_0" localSheetId="58">'326'!$H$60</definedName>
    <definedName name="OSRRefH22_7x_0" localSheetId="56">'331'!$H$75</definedName>
    <definedName name="OSRRefH22_7x_0" localSheetId="59">'332'!$H$59:$H$61</definedName>
    <definedName name="OSRRefH22_7x_0" localSheetId="54">'333'!$H$78</definedName>
    <definedName name="OSRRefH22_7x_0" localSheetId="71">'405'!$H$59</definedName>
    <definedName name="OSRRefH22_7x_0" localSheetId="73">'411'!$H$52</definedName>
    <definedName name="OSRRefH22_7x_0" localSheetId="77">'415'!$H$60</definedName>
    <definedName name="OSRRefH22_7x_0" localSheetId="78">'418'!$H$56:$H$57</definedName>
    <definedName name="OSRRefH22_7x_0" localSheetId="83">'430'!$H$54</definedName>
    <definedName name="OSRRefH22_7x_0" localSheetId="84">'433'!$H$59</definedName>
    <definedName name="OSRRefH22_7x_0" localSheetId="86">'444'!$H$59</definedName>
    <definedName name="OSRRefH22_7x_0" localSheetId="87">'450'!$H$59</definedName>
    <definedName name="OSRRefH22_7x_0" localSheetId="70">'491'!$H$61</definedName>
    <definedName name="OSRRefH22_7x_0" localSheetId="82">'492'!$H$61</definedName>
    <definedName name="OSRRefH22_7x_0" localSheetId="89">'501'!$H$54</definedName>
    <definedName name="OSRRefH22_7x_0" localSheetId="39">'Div 2'!$H$54</definedName>
    <definedName name="OSRRefH22_7x_0" localSheetId="47">'Div 3'!$H$94</definedName>
    <definedName name="OSRRefH22_7x_0" localSheetId="68">'Div 4'!$H$64</definedName>
    <definedName name="OSRRefH22_7x_0" localSheetId="88">'Div 5'!$H$54</definedName>
    <definedName name="OSRRefH22_7x_0" localSheetId="61">'Div 6'!$H$67</definedName>
    <definedName name="OSRRefH22_7x_0" localSheetId="2">Summary!$H$102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4">'204'!$H$59:$H$60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5">'307'!$H$68</definedName>
    <definedName name="OSRRefH22_8x_0" localSheetId="51">'308'!$H$70</definedName>
    <definedName name="OSRRefH22_8x_0" localSheetId="64">'309'!$H$44:$H$45</definedName>
    <definedName name="OSRRefH22_8x_0" localSheetId="63">'310'!$H$64</definedName>
    <definedName name="OSRRefH22_8x_0" localSheetId="69">'310 &amp; 491'!$H$64:$H$65</definedName>
    <definedName name="OSRRefH22_8x_0" localSheetId="52">'311'!$H$70</definedName>
    <definedName name="OSRRefH22_8x_0" localSheetId="57">'315'!$H$77:$H$78</definedName>
    <definedName name="OSRRefH22_8x_0" localSheetId="60">'316'!$H$63</definedName>
    <definedName name="OSRRefH22_8x_0" localSheetId="62">'317'!$H$69</definedName>
    <definedName name="OSRRefH22_8x_0" localSheetId="65">'321'!$H$59:$H$60</definedName>
    <definedName name="OSRRefH22_8x_0" localSheetId="66">'325'!$H$59</definedName>
    <definedName name="OSRRefH22_8x_0" localSheetId="58">'326'!$H$62</definedName>
    <definedName name="OSRRefH22_8x_0" localSheetId="56">'331'!$H$77:$H$78</definedName>
    <definedName name="OSRRefH22_8x_0" localSheetId="59">'332'!$H$63</definedName>
    <definedName name="OSRRefH22_8x_0" localSheetId="54">'333'!$H$80:$H$81</definedName>
    <definedName name="OSRRefH22_8x_0" localSheetId="71">'405'!$H$61</definedName>
    <definedName name="OSRRefH22_8x_0" localSheetId="73">'411'!$H$54</definedName>
    <definedName name="OSRRefH22_8x_0" localSheetId="77">'415'!$H$62</definedName>
    <definedName name="OSRRefH22_8x_0" localSheetId="78">'418'!$H$59:$H$60</definedName>
    <definedName name="OSRRefH22_8x_0" localSheetId="83">'430'!$H$56</definedName>
    <definedName name="OSRRefH22_8x_0" localSheetId="84">'433'!$H$61</definedName>
    <definedName name="OSRRefH22_8x_0" localSheetId="86">'444'!$H$61</definedName>
    <definedName name="OSRRefH22_8x_0" localSheetId="87">'450'!$H$61</definedName>
    <definedName name="OSRRefH22_8x_0" localSheetId="70">'491'!$H$63:$H$64</definedName>
    <definedName name="OSRRefH22_8x_0" localSheetId="82">'492'!$H$63</definedName>
    <definedName name="OSRRefH22_8x_0" localSheetId="89">'501'!$H$56</definedName>
    <definedName name="OSRRefH22_8x_0" localSheetId="39">'Div 2'!$H$56</definedName>
    <definedName name="OSRRefH22_8x_0" localSheetId="47">'Div 3'!$H$96</definedName>
    <definedName name="OSRRefH22_8x_0" localSheetId="68">'Div 4'!$H$66</definedName>
    <definedName name="OSRRefH22_8x_0" localSheetId="88">'Div 5'!$H$56</definedName>
    <definedName name="OSRRefH22_8x_0" localSheetId="61">'Div 6'!$H$69</definedName>
    <definedName name="OSRRefH22_8x_0" localSheetId="2">Summary!$H$104</definedName>
    <definedName name="OSRRefH22_9x_0" localSheetId="41">'201'!$H$55:$H$57</definedName>
    <definedName name="OSRRefH22_9x_0" localSheetId="42">'202'!$H$57:$H$58</definedName>
    <definedName name="OSRRefH22_9x_0" localSheetId="43">'203'!$H$58:$H$59</definedName>
    <definedName name="OSRRefH22_9x_0" localSheetId="44">'204'!$H$62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5">'307'!$H$70:$H$71</definedName>
    <definedName name="OSRRefH22_9x_0" localSheetId="51">'308'!$H$72:$H$74</definedName>
    <definedName name="OSRRefH22_9x_0" localSheetId="64">'309'!$H$47:$H$48</definedName>
    <definedName name="OSRRefH22_9x_0" localSheetId="63">'310'!$H$66</definedName>
    <definedName name="OSRRefH22_9x_0" localSheetId="69">'310 &amp; 491'!$H$67</definedName>
    <definedName name="OSRRefH22_9x_0" localSheetId="52">'311'!$H$72:$H$74</definedName>
    <definedName name="OSRRefH22_9x_0" localSheetId="57">'315'!$H$80</definedName>
    <definedName name="OSRRefH22_9x_0" localSheetId="60">'316'!$H$65</definedName>
    <definedName name="OSRRefH22_9x_0" localSheetId="62">'317'!$H$71:$H$72</definedName>
    <definedName name="OSRRefH22_9x_0" localSheetId="65">'321'!$H$62:$H$64</definedName>
    <definedName name="OSRRefH22_9x_0" localSheetId="66">'325'!$H$61</definedName>
    <definedName name="OSRRefH22_9x_0" localSheetId="58">'326'!$H$64</definedName>
    <definedName name="OSRRefH22_9x_0" localSheetId="56">'331'!$H$80:$H$81</definedName>
    <definedName name="OSRRefH22_9x_0" localSheetId="59">'332'!$H$65</definedName>
    <definedName name="OSRRefH22_9x_0" localSheetId="54">'333'!$H$83:$H$84</definedName>
    <definedName name="OSRRefH22_9x_0" localSheetId="71">'405'!$H$63:$H$64</definedName>
    <definedName name="OSRRefH22_9x_0" localSheetId="73">'411'!$H$56:$H$59</definedName>
    <definedName name="OSRRefH22_9x_0" localSheetId="77">'415'!$H$64</definedName>
    <definedName name="OSRRefH22_9x_0" localSheetId="78">'418'!$H$62:$H$65</definedName>
    <definedName name="OSRRefH22_9x_0" localSheetId="84">'433'!$H$63</definedName>
    <definedName name="OSRRefH22_9x_0" localSheetId="86">'444'!$H$63</definedName>
    <definedName name="OSRRefH22_9x_0" localSheetId="87">'450'!$H$63</definedName>
    <definedName name="OSRRefH22_9x_0" localSheetId="70">'491'!$H$66</definedName>
    <definedName name="OSRRefH22_9x_0" localSheetId="82">'492'!$H$65</definedName>
    <definedName name="OSRRefH22_9x_0" localSheetId="89">'501'!$H$58:$H$60</definedName>
    <definedName name="OSRRefH22_9x_0" localSheetId="39">'Div 2'!$H$58</definedName>
    <definedName name="OSRRefH22_9x_0" localSheetId="47">'Div 3'!$H$98</definedName>
    <definedName name="OSRRefH22_9x_0" localSheetId="68">'Div 4'!$H$68:$H$69</definedName>
    <definedName name="OSRRefH22_9x_0" localSheetId="88">'Div 5'!$H$58:$H$60</definedName>
    <definedName name="OSRRefH22_9x_0" localSheetId="61">'Div 6'!$H$71:$H$72</definedName>
    <definedName name="OSRRefH22_9x_0" localSheetId="2">Summary!$H$106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'201'!$H$20:$H$28,'201'!$H$30:$H$39,'201'!$H$41,'201'!$H$43,'201'!$H$45,'201'!$H$47,'201'!$H$49,'201'!$H$51,'201'!$H$53,'201'!$H$55:$H$57,'201'!$H$59:$H$60,'201'!$H$62,'201'!$H$64:$H$65,'201'!$H$67,'201'!$H$69,'201'!$H$71</definedName>
    <definedName name="OSRRefH22x_0" localSheetId="42">'202'!$H$20:$H$28,'202'!$H$30:$H$39,'202'!$H$41,'202'!$H$43,'202'!$H$45,'202'!$H$47,'202'!$H$49,'202'!$H$51:$H$53,'202'!$H$55,'202'!$H$57:$H$58,'202'!$H$60,'202'!$H$62,'202'!$H$64</definedName>
    <definedName name="OSRRefH22x_0" localSheetId="43">'203'!$H$20:$H$29,'203'!$H$31:$H$40,'203'!$H$42,'203'!$H$44,'203'!$H$46,'203'!$H$48,'203'!$H$50,'203'!$H$52,'203'!$H$54:$H$56,'203'!$H$58:$H$59,'203'!$H$61:$H$62,'203'!$H$64:$H$67,'203'!$H$69,'203'!$H$71,'203'!$H$73</definedName>
    <definedName name="OSRRefH22x_0" localSheetId="44">'204'!$H$20:$H$29,'204'!$H$31:$H$40,'204'!$H$42,'204'!$H$44:$H$45,'204'!$H$47,'204'!$H$49:$H$52,'204'!$H$54:$H$55,'204'!$H$57,'204'!$H$59:$H$60,'204'!$H$62,'204'!$H$64</definedName>
    <definedName name="OSRRefH22x_0" localSheetId="45">'205'!$H$20:$H$28,'205'!$H$30:$H$39,'205'!$H$41,'205'!$H$43,'205'!$H$45:$H$47,'205'!$H$49,'205'!$H$51:$H$53,'205'!$H$55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$94,'301'!$H$96</definedName>
    <definedName name="OSRRefH22x_0" localSheetId="55">'307'!$H$34:$H$42,'307'!$H$44:$H$53,'307'!$H$55,'307'!$H$57,'307'!$H$59,'307'!$H$61:$H$62,'307'!$H$64,'307'!$H$66,'307'!$H$68,'307'!$H$70:$H$71,'307'!$H$73:$H$74,'307'!$H$76,'307'!$H$78:$H$81,'307'!$H$83</definedName>
    <definedName name="OSRRefH22x_0" localSheetId="51">'308'!$H$35:$H$44,'308'!$H$46:$H$55,'308'!$H$57,'308'!$H$59,'308'!$H$61,'308'!$H$63,'308'!$H$65:$H$66,'308'!$H$68,'308'!$H$70,'308'!$H$72:$H$74,'308'!$H$76:$H$77,'308'!$H$79:$H$80,'308'!$H$82:$H$83,'308'!$H$85</definedName>
    <definedName name="OSRRefH22x_0" localSheetId="64">'309'!$H$26:$H$27,'309'!$H$29:$H$30,'309'!$H$32,'309'!$H$34,'309'!$H$36,'309'!$H$38,'309'!$H$40,'309'!$H$42,'309'!$H$44:$H$45,'309'!$H$47:$H$48,'309'!$H$50:$H$51,'309'!$H$53,'309'!$H$55</definedName>
    <definedName name="OSRRefH22x_0" localSheetId="63">'310'!$H$29:$H$38,'310'!$H$40:$H$49,'310'!$H$51,'310'!$H$53,'310'!$H$55,'310'!$H$57:$H$58,'310'!$H$60,'310'!$H$62,'310'!$H$64,'310'!$H$66,'310'!$H$68,'310'!$H$70:$H$72,'310'!$H$74:$H$75,'310'!$H$77:$H$79,'310'!$H$81:$H$86,'310'!$H$88:$H$89,'310'!$H$91,'310'!$H$93</definedName>
    <definedName name="OSRRefH22x_0" localSheetId="69">'310 &amp; 491'!$H$29:$H$38,'310 &amp; 491'!$H$40:$H$49,'310 &amp; 491'!$H$51,'310 &amp; 491'!$H$53,'310 &amp; 491'!$H$55,'310 &amp; 491'!$H$57:$H$58,'310 &amp; 491'!$H$60,'310 &amp; 491'!$H$62,'310 &amp; 491'!$H$64:$H$65,'310 &amp; 491'!$H$67,'310 &amp; 491'!$H$69,'310 &amp; 491'!$H$71,'310 &amp; 491'!$H$73,'310 &amp; 491'!$H$75:$H$78,'310 &amp; 491'!$H$80:$H$81,'310 &amp; 491'!$H$83:$H$87,'310 &amp; 491'!$H$89,'310 &amp; 491'!$H$91:$H$100,'310 &amp; 491'!$H$102:$H$103,'310 &amp; 491'!$H$105,'310 &amp; 491'!$H$107:$H$108,'310 &amp; 491'!$H$110</definedName>
    <definedName name="OSRRefH22x_0" localSheetId="52">'311'!$H$35:$H$44,'311'!$H$46:$H$55,'311'!$H$57,'311'!$H$59,'311'!$H$61,'311'!$H$63,'311'!$H$65:$H$66,'311'!$H$68,'311'!$H$70,'311'!$H$72:$H$74,'311'!$H$76:$H$77,'311'!$H$79:$H$80,'311'!$H$82:$H$83,'311'!$H$85</definedName>
    <definedName name="OSRRefH22x_0" localSheetId="57">'315'!$H$44:$H$52,'315'!$H$54:$H$63,'315'!$H$65,'315'!$H$67,'315'!$H$69,'315'!$H$71,'315'!$H$73,'315'!$H$75,'315'!$H$77:$H$78,'315'!$H$80,'315'!$H$82,'315'!$H$84,'315'!$H$86:$H$87,'315'!$H$89:$H$91,'315'!$H$93:$H$94,'315'!$H$96:$H$99,'315'!$H$101,'315'!$H$103,'315'!$H$105</definedName>
    <definedName name="OSRRefH22x_0" localSheetId="60">'316'!$H$27:$H$35,'316'!$H$37:$H$46,'316'!$H$48,'316'!$H$50,'316'!$H$52,'316'!$H$54:$H$55,'316'!$H$57,'316'!$H$59:$H$61,'316'!$H$63,'316'!$H$65,'316'!$H$67:$H$71,'316'!$H$73</definedName>
    <definedName name="OSRRefH22x_0" localSheetId="62">'317'!$H$35:$H$44,'317'!$H$46:$H$55,'317'!$H$57,'317'!$H$59,'317'!$H$61,'317'!$H$63,'317'!$H$65,'317'!$H$67,'317'!$H$69,'317'!$H$71:$H$72,'317'!$H$74</definedName>
    <definedName name="OSRRefH22x_0" localSheetId="65">'321'!$H$24:$H$33,'321'!$H$35:$H$44,'321'!$H$46,'321'!$H$48,'321'!$H$50,'321'!$H$52,'321'!$H$54,'321'!$H$56:$H$57,'321'!$H$59:$H$60,'321'!$H$62:$H$64,'321'!$H$66:$H$69,'321'!$H$71,'321'!$H$73</definedName>
    <definedName name="OSRRefH22x_0" localSheetId="66">'325'!$H$25:$H$33,'325'!$H$35:$H$44,'325'!$H$46,'325'!$H$48,'325'!$H$50,'325'!$H$52:$H$53,'325'!$H$55,'325'!$H$57,'325'!$H$59,'325'!$H$61,'325'!$H$63,'325'!$H$65:$H$67,'325'!$H$69:$H$71,'325'!$H$73:$H$78,'325'!$H$80:$H$81,'325'!$H$83,'325'!$H$85</definedName>
    <definedName name="OSRRefH22x_0" localSheetId="58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7">'327'!$H$26,'327'!$H$28</definedName>
    <definedName name="OSRRefH22x_0" localSheetId="56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,'331'!$H$114:$H$115,'331'!$H$117</definedName>
    <definedName name="OSRRefH22x_0" localSheetId="59">'332'!$H$27:$H$35,'332'!$H$37:$H$46,'332'!$H$48,'332'!$H$50,'332'!$H$52,'332'!$H$54:$H$55,'332'!$H$57,'332'!$H$59:$H$61,'332'!$H$63,'332'!$H$65,'332'!$H$67:$H$71,'332'!$H$73</definedName>
    <definedName name="OSRRefH22x_0" localSheetId="54">'333'!$H$46:$H$54,'333'!$H$56:$H$65,'333'!$H$67,'333'!$H$69,'333'!$H$71,'333'!$H$73:$H$74,'333'!$H$76,'333'!$H$78,'333'!$H$80:$H$81,'333'!$H$83:$H$84,'333'!$H$86,'333'!$H$88,'333'!$H$90,'333'!$H$92,'333'!$H$94:$H$95,'333'!$H$97:$H$99,'333'!$H$101:$H$103,'333'!$H$105:$H$106,'333'!$H$108:$H$113,'333'!$H$115,'333'!$H$117,'333'!$H$119:$H$120,'333'!$H$122</definedName>
    <definedName name="OSRRefH22x_0" localSheetId="71">'405'!$H$27:$H$35,'405'!$H$37:$H$46,'405'!$H$48,'405'!$H$50,'405'!$H$52,'405'!$H$54:$H$55,'405'!$H$57,'405'!$H$59,'405'!$H$61,'405'!$H$63:$H$64,'405'!$H$66:$H$69,'405'!$H$71,'405'!$H$73:$H$81,'405'!$H$83,'405'!$H$85,'405'!$H$87,'405'!$H$89</definedName>
    <definedName name="OSRRefH22x_0" localSheetId="72">'406'!$H$20,'406'!$H$22</definedName>
    <definedName name="OSRRefH22x_0" localSheetId="73">'411'!$H$20:$H$28,'411'!$H$30:$H$39,'411'!$H$41,'411'!$H$43:$H$44,'411'!$H$46,'411'!$H$48,'411'!$H$50,'411'!$H$52,'411'!$H$54,'411'!$H$56:$H$59,'411'!$H$61:$H$63,'411'!$H$65,'411'!$H$67:$H$68,'411'!$H$70,'411'!$H$72,'411'!$H$74:$H$75,'411'!$H$77</definedName>
    <definedName name="OSRRefH22x_0" localSheetId="74">'412'!$H$20,'412'!$H$22,'412'!$H$24,'412'!$H$26,'412'!$H$28</definedName>
    <definedName name="OSRRefH22x_0" localSheetId="75">'413'!$H$20,'413'!$H$22,'413'!$H$24</definedName>
    <definedName name="OSRRefH22x_0" localSheetId="76">'414'!$H$20,'414'!$H$22,'414'!$H$24</definedName>
    <definedName name="OSRRefH22x_0" localSheetId="77">'415'!$H$27:$H$36,'415'!$H$38:$H$47,'415'!$H$49,'415'!$H$51,'415'!$H$53,'415'!$H$55:$H$56,'415'!$H$58,'415'!$H$60,'415'!$H$62,'415'!$H$64,'415'!$H$66,'415'!$H$68:$H$69,'415'!$H$71:$H$74,'415'!$H$76,'415'!$H$78:$H$85,'415'!$H$87:$H$88,'415'!$H$90,'415'!$H$92</definedName>
    <definedName name="OSRRefH22x_0" localSheetId="78">'418'!$H$24:$H$32,'418'!$H$34:$H$43,'418'!$H$45,'418'!$H$47,'418'!$H$49:$H$50,'418'!$H$52,'418'!$H$54,'418'!$H$56:$H$57,'418'!$H$59:$H$60,'418'!$H$62:$H$65,'418'!$H$67,'418'!$H$69:$H$77,'418'!$H$79:$H$80,'418'!$H$82,'418'!$H$84,'418'!$H$86</definedName>
    <definedName name="OSRRefH22x_0" localSheetId="79">'423'!$H$20:$H$27,'423'!$H$29:$H$38,'423'!$H$40,'423'!$H$42,'423'!$H$44,'423'!$H$46</definedName>
    <definedName name="OSRRefH22x_0" localSheetId="80">'424'!$H$20,'424'!$H$22,'424'!$H$24</definedName>
    <definedName name="OSRRefH22x_0" localSheetId="81">'425'!$H$22,'425'!$H$24,'425'!$H$26,'425'!$H$28,'425'!$H$30,'425'!$H$32</definedName>
    <definedName name="OSRRefH22x_0" localSheetId="83">'430'!$H$20:$H$28,'430'!$H$30:$H$39,'430'!$H$41,'430'!$H$43,'430'!$H$45,'430'!$H$47:$H$49,'430'!$H$51:$H$52,'430'!$H$54,'430'!$H$56</definedName>
    <definedName name="OSRRefH22x_0" localSheetId="84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5">'435'!$H$23:$H$24,'435'!$H$26,'435'!$H$28,'435'!$H$30,'435'!$H$32</definedName>
    <definedName name="OSRRefH22x_0" localSheetId="86">'444'!$H$27:$H$36,'444'!$H$38:$H$47,'444'!$H$49,'444'!$H$51,'444'!$H$53,'444'!$H$55,'444'!$H$57,'444'!$H$59,'444'!$H$61,'444'!$H$63,'444'!$H$65,'444'!$H$67:$H$68,'444'!$H$70:$H$73,'444'!$H$75,'444'!$H$77:$H$85,'444'!$H$87,'444'!$H$89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0">'491'!$H$28:$H$37,'491'!$H$39:$H$48,'491'!$H$50,'491'!$H$52,'491'!$H$54,'491'!$H$56:$H$57,'491'!$H$59,'491'!$H$61,'491'!$H$63:$H$64,'491'!$H$66,'491'!$H$68,'491'!$H$70,'491'!$H$72,'491'!$H$74:$H$77,'491'!$H$79,'491'!$H$81:$H$85,'491'!$H$87,'491'!$H$89:$H$98,'491'!$H$100:$H$101,'491'!$H$103,'491'!$H$105:$H$106,'491'!$H$108</definedName>
    <definedName name="OSRRefH22x_0" localSheetId="82">'492'!$H$29:$H$38,'492'!$H$40:$H$49,'492'!$H$51,'492'!$H$53,'492'!$H$55,'492'!$H$57,'492'!$H$59,'492'!$H$61,'492'!$H$63,'492'!$H$65,'492'!$H$67,'492'!$H$69,'492'!$H$71:$H$73,'492'!$H$75:$H$78,'492'!$H$80,'492'!$H$82:$H$90,'492'!$H$92:$H$93,'492'!$H$95,'492'!$H$97:$H$98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47">'Div 3'!$H$60:$H$69,'Div 3'!$H$71:$H$80,'Div 3'!$H$82,'Div 3'!$H$84,'Div 3'!$H$86,'Div 3'!$H$88:$H$89,'Div 3'!$H$91:$H$92,'Div 3'!$H$94,'Div 3'!$H$96,'Div 3'!$H$98,'Div 3'!$H$100:$H$101,'Div 3'!$H$103:$H$104,'Div 3'!$H$106,'Div 3'!$H$108,'Div 3'!$H$110,'Div 3'!$H$112,'Div 3'!$H$114,'Div 3'!$H$116:$H$119,'Div 3'!$H$121:$H$124,'Div 3'!$H$126:$H$129,'Div 3'!$H$131:$H$132,'Div 3'!$H$134:$H$140,'Div 3'!$H$142:$H$143,'Div 3'!$H$145,'Div 3'!$H$147:$H$149,'Div 3'!$H$151</definedName>
    <definedName name="OSRRefH22x_0" localSheetId="68">'Div 4'!$H$31:$H$40,'Div 4'!$H$42:$H$51,'Div 4'!$H$53,'Div 4'!$H$55,'Div 4'!$H$57,'Div 4'!$H$59:$H$60,'Div 4'!$H$62,'Div 4'!$H$64,'Div 4'!$H$66,'Div 4'!$H$68:$H$69,'Div 4'!$H$71,'Div 4'!$H$73,'Div 4'!$H$75,'Div 4'!$H$77,'Div 4'!$H$79,'Div 4'!$H$81:$H$84,'Div 4'!$H$86,'Div 4'!$H$88:$H$92,'Div 4'!$H$94:$H$95,'Div 4'!$H$97:$H$106,'Div 4'!$H$108:$H$109,'Div 4'!$H$111,'Div 4'!$H$113:$H$114,'Div 4'!$H$116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6'!$H$69,'Div 6'!$H$71:$H$72,'Div 6'!$H$74</definedName>
    <definedName name="OSRRefH22x_0" localSheetId="2">Summary!$H$68:$H$77,Summary!$H$79:$H$88,Summary!$H$90,Summary!$H$92,Summary!$H$94,Summary!$H$96:$H$97,Summary!$H$99:$H$100,Summary!$H$102,Summary!$H$104,Summary!$H$106,Summary!$H$108:$H$109,Summary!$H$111:$H$113,Summary!$H$115,Summary!$H$117,Summary!$H$119,Summary!$H$121,Summary!$H$123,Summary!$H$125,Summary!$H$127:$H$130,Summary!$H$132:$H$135,Summary!$H$137:$H$141,Summary!$H$143:$H$144,Summary!$H$146:$H$155,Summary!$H$157:$H$158,Summary!$H$160,Summary!$H$162:$H$164,Summary!$H$166</definedName>
    <definedName name="OSRRefH25x_0" localSheetId="48">'300'!$H$145:$H$149</definedName>
    <definedName name="OSRRefH25x_0" localSheetId="49">'300 &amp; 317'!$H$151:$H$157</definedName>
    <definedName name="OSRRefH25x_0" localSheetId="50">'301'!$H$99:$H$100</definedName>
    <definedName name="OSRRefH25x_0" localSheetId="51">'308'!$H$88:$H$91</definedName>
    <definedName name="OSRRefH25x_0" localSheetId="69">'310 &amp; 491'!$H$113:$H$116</definedName>
    <definedName name="OSRRefH25x_0" localSheetId="52">'311'!$H$88:$H$91</definedName>
    <definedName name="OSRRefH25x_0" localSheetId="57">'315'!$H$108:$H$111</definedName>
    <definedName name="OSRRefH25x_0" localSheetId="60">'316'!$H$76</definedName>
    <definedName name="OSRRefH25x_0" localSheetId="62">'317'!$H$77:$H$79</definedName>
    <definedName name="OSRRefH25x_0" localSheetId="56">'331'!$H$120:$H$123</definedName>
    <definedName name="OSRRefH25x_0" localSheetId="59">'332'!$H$76</definedName>
    <definedName name="OSRRefH25x_0" localSheetId="54">'333'!$H$125:$H$128</definedName>
    <definedName name="OSRRefH25x_0" localSheetId="71">'405'!$H$92</definedName>
    <definedName name="OSRRefH25x_0" localSheetId="73">'411'!$H$80</definedName>
    <definedName name="OSRRefH25x_0" localSheetId="77">'415'!$H$95</definedName>
    <definedName name="OSRRefH25x_0" localSheetId="78">'418'!$H$89</definedName>
    <definedName name="OSRRefH25x_0" localSheetId="79">'423'!$H$49:$H$51</definedName>
    <definedName name="OSRRefH25x_0" localSheetId="70">'491'!$H$111:$H$114</definedName>
    <definedName name="OSRRefH25x_0" localSheetId="89">'501'!$H$73</definedName>
    <definedName name="OSRRefH25x_0" localSheetId="47">'Div 3'!$H$154:$H$158</definedName>
    <definedName name="OSRRefH25x_0" localSheetId="68">'Div 4'!$H$119:$H$122</definedName>
    <definedName name="OSRRefH25x_0" localSheetId="88">'Div 5'!$H$73</definedName>
    <definedName name="OSRRefH25x_0" localSheetId="61">'Div 6'!$H$77:$H$79</definedName>
    <definedName name="OSRRefH25x_0" localSheetId="2">Summary!$H$169:$H$176</definedName>
    <definedName name="OSRRefP13x_0" localSheetId="48">'300'!$P$13:$P$19</definedName>
    <definedName name="OSRRefP13x_0" localSheetId="49">'300 &amp; 317'!$P$13:$P$19</definedName>
    <definedName name="OSRRefP13x_0" localSheetId="55">'307'!$P$13:$P$16</definedName>
    <definedName name="OSRRefP13x_0" localSheetId="51">'308'!$P$13:$P$17</definedName>
    <definedName name="OSRRefP13x_0" localSheetId="64">'309'!$P$13:$P$16</definedName>
    <definedName name="OSRRefP13x_0" localSheetId="63">'310'!$P$13:$P$18</definedName>
    <definedName name="OSRRefP13x_0" localSheetId="69">'310 &amp; 491'!$P$13:$P$18</definedName>
    <definedName name="OSRRefP13x_0" localSheetId="52">'311'!$P$13:$P$17</definedName>
    <definedName name="OSRRefP13x_0" localSheetId="57">'315'!$P$13:$P$17</definedName>
    <definedName name="OSRRefP13x_0" localSheetId="60">'316'!$P$13:$P$17</definedName>
    <definedName name="OSRRefP13x_0" localSheetId="62">'317'!$P$13:$P$17</definedName>
    <definedName name="OSRRefP13x_0" localSheetId="65">'321'!$P$13:$P$14</definedName>
    <definedName name="OSRRefP13x_0" localSheetId="53">'324'!$P$13:$P$14</definedName>
    <definedName name="OSRRefP13x_0" localSheetId="66">'325'!$P$13:$P$14</definedName>
    <definedName name="OSRRefP13x_0" localSheetId="58">'326'!$P$13:$P$16</definedName>
    <definedName name="OSRRefP13x_0" localSheetId="67">'327'!$P$13:$P$15</definedName>
    <definedName name="OSRRefP13x_0" localSheetId="56">'331'!$P$13:$P$17</definedName>
    <definedName name="OSRRefP13x_0" localSheetId="59">'332'!$P$13:$P$17</definedName>
    <definedName name="OSRRefP13x_0" localSheetId="54">'333'!$P$13:$P$17</definedName>
    <definedName name="OSRRefP13x_0" localSheetId="71">'405'!$P$13:$P$16</definedName>
    <definedName name="OSRRefP13x_0" localSheetId="77">'415'!$P$13:$P$16</definedName>
    <definedName name="OSRRefP13x_0" localSheetId="78">'418'!$P$13:$P$14</definedName>
    <definedName name="OSRRefP13x_0" localSheetId="81">'425'!$P$13</definedName>
    <definedName name="OSRRefP13x_0" localSheetId="84">'433'!$P$13:$P$16</definedName>
    <definedName name="OSRRefP13x_0" localSheetId="85">'435'!$P$13:$P$14</definedName>
    <definedName name="OSRRefP13x_0" localSheetId="86">'444'!$P$13:$P$16</definedName>
    <definedName name="OSRRefP13x_0" localSheetId="87">'450'!$P$13:$P$16</definedName>
    <definedName name="OSRRefP13x_0" localSheetId="70">'491'!$P$13:$P$17</definedName>
    <definedName name="OSRRefP13x_0" localSheetId="82">'492'!$P$13:$P$18</definedName>
    <definedName name="OSRRefP13x_0" localSheetId="89">'501'!$P$13</definedName>
    <definedName name="OSRRefP13x_0" localSheetId="47">'Div 3'!$P$13:$P$23</definedName>
    <definedName name="OSRRefP13x_0" localSheetId="68">'Div 4'!$P$13:$P$20</definedName>
    <definedName name="OSRRefP13x_0" localSheetId="88">'Div 5'!$P$13</definedName>
    <definedName name="OSRRefP13x_0" localSheetId="61">'Div 6'!$P$13:$P$17</definedName>
    <definedName name="OSRRefP13x_0" localSheetId="2">Summary!$P$13:$P$25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5">'307'!$P$19:$P$28</definedName>
    <definedName name="OSRRefP16x_0" localSheetId="51">'308'!$P$20:$P$29</definedName>
    <definedName name="OSRRefP16x_0" localSheetId="64">'309'!$P$19:$P$20</definedName>
    <definedName name="OSRRefP16x_0" localSheetId="63">'310'!$P$21:$P$23</definedName>
    <definedName name="OSRRefP16x_0" localSheetId="69">'310 &amp; 491'!$P$21:$P$23</definedName>
    <definedName name="OSRRefP16x_0" localSheetId="52">'311'!$P$20:$P$29</definedName>
    <definedName name="OSRRefP16x_0" localSheetId="57">'315'!$P$20:$P$38</definedName>
    <definedName name="OSRRefP16x_0" localSheetId="60">'316'!$P$20:$P$21</definedName>
    <definedName name="OSRRefP16x_0" localSheetId="62">'317'!$P$20:$P$29</definedName>
    <definedName name="OSRRefP16x_0" localSheetId="65">'321'!$P$17:$P$18</definedName>
    <definedName name="OSRRefP16x_0" localSheetId="53">'324'!$P$17</definedName>
    <definedName name="OSRRefP16x_0" localSheetId="66">'325'!$P$17:$P$19</definedName>
    <definedName name="OSRRefP16x_0" localSheetId="58">'326'!$P$19:$P$22</definedName>
    <definedName name="OSRRefP16x_0" localSheetId="67">'327'!$P$18:$P$20</definedName>
    <definedName name="OSRRefP16x_0" localSheetId="56">'331'!$P$20:$P$38</definedName>
    <definedName name="OSRRefP16x_0" localSheetId="59">'332'!$P$20:$P$21</definedName>
    <definedName name="OSRRefP16x_0" localSheetId="54">'333'!$P$20:$P$40</definedName>
    <definedName name="OSRRefP16x_0" localSheetId="71">'405'!$P$19:$P$21</definedName>
    <definedName name="OSRRefP16x_0" localSheetId="77">'415'!$P$19:$P$21</definedName>
    <definedName name="OSRRefP16x_0" localSheetId="78">'418'!$P$17:$P$18</definedName>
    <definedName name="OSRRefP16x_0" localSheetId="81">'425'!$P$16</definedName>
    <definedName name="OSRRefP16x_0" localSheetId="84">'433'!$P$19:$P$21</definedName>
    <definedName name="OSRRefP16x_0" localSheetId="85">'435'!$P$17</definedName>
    <definedName name="OSRRefP16x_0" localSheetId="86">'444'!$P$19:$P$21</definedName>
    <definedName name="OSRRefP16x_0" localSheetId="87">'450'!$P$19:$P$21</definedName>
    <definedName name="OSRRefP16x_0" localSheetId="70">'491'!$P$20:$P$22</definedName>
    <definedName name="OSRRefP16x_0" localSheetId="82">'492'!$P$21:$P$23</definedName>
    <definedName name="OSRRefP16x_0" localSheetId="47">'Div 3'!$P$26:$P$54</definedName>
    <definedName name="OSRRefP16x_0" localSheetId="68">'Div 4'!$P$23:$P$25</definedName>
    <definedName name="OSRRefP16x_0" localSheetId="61">'Div 6'!$P$20:$P$29</definedName>
    <definedName name="OSRRefP16x_0" localSheetId="2">Summary!$P$28:$P$62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5">'307'!$P$34:$P$42</definedName>
    <definedName name="OSRRefP22_0x_0" localSheetId="51">'308'!$P$35:$P$44</definedName>
    <definedName name="OSRRefP22_0x_0" localSheetId="64">'309'!$P$26:$P$27</definedName>
    <definedName name="OSRRefP22_0x_0" localSheetId="63">'310'!$P$29:$P$38</definedName>
    <definedName name="OSRRefP22_0x_0" localSheetId="69">'310 &amp; 491'!$P$29:$P$38</definedName>
    <definedName name="OSRRefP22_0x_0" localSheetId="52">'311'!$P$35:$P$44</definedName>
    <definedName name="OSRRefP22_0x_0" localSheetId="57">'315'!$P$44:$P$52</definedName>
    <definedName name="OSRRefP22_0x_0" localSheetId="60">'316'!$P$27:$P$35</definedName>
    <definedName name="OSRRefP22_0x_0" localSheetId="62">'317'!$P$35:$P$44</definedName>
    <definedName name="OSRRefP22_0x_0" localSheetId="65">'321'!$P$24:$P$33</definedName>
    <definedName name="OSRRefP22_0x_0" localSheetId="66">'325'!$P$25:$P$33</definedName>
    <definedName name="OSRRefP22_0x_0" localSheetId="58">'326'!$P$28:$P$36</definedName>
    <definedName name="OSRRefP22_0x_0" localSheetId="67">'327'!$P$26</definedName>
    <definedName name="OSRRefP22_0x_0" localSheetId="56">'331'!$P$44:$P$52</definedName>
    <definedName name="OSRRefP22_0x_0" localSheetId="59">'332'!$P$27:$P$35</definedName>
    <definedName name="OSRRefP22_0x_0" localSheetId="54">'333'!$P$46:$P$54</definedName>
    <definedName name="OSRRefP22_0x_0" localSheetId="71">'405'!$P$27:$P$35</definedName>
    <definedName name="OSRRefP22_0x_0" localSheetId="72">'406'!$P$20</definedName>
    <definedName name="OSRRefP22_0x_0" localSheetId="73">'411'!$P$20:$P$28</definedName>
    <definedName name="OSRRefP22_0x_0" localSheetId="74">'412'!$P$20</definedName>
    <definedName name="OSRRefP22_0x_0" localSheetId="75">'413'!$P$20</definedName>
    <definedName name="OSRRefP22_0x_0" localSheetId="76">'414'!$P$20</definedName>
    <definedName name="OSRRefP22_0x_0" localSheetId="77">'415'!$P$27:$P$36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'425'!$P$22</definedName>
    <definedName name="OSRRefP22_0x_0" localSheetId="83">'430'!$P$20:$P$28</definedName>
    <definedName name="OSRRefP22_0x_0" localSheetId="84">'433'!$P$27:$P$36</definedName>
    <definedName name="OSRRefP22_0x_0" localSheetId="85">'435'!$P$23:$P$24</definedName>
    <definedName name="OSRRefP22_0x_0" localSheetId="86">'444'!$P$27:$P$36</definedName>
    <definedName name="OSRRefP22_0x_0" localSheetId="87">'450'!$P$27:$P$36</definedName>
    <definedName name="OSRRefP22_0x_0" localSheetId="70">'491'!$P$28:$P$37</definedName>
    <definedName name="OSRRefP22_0x_0" localSheetId="82">'492'!$P$29:$P$38</definedName>
    <definedName name="OSRRefP22_0x_0" localSheetId="89">'501'!$P$21:$P$30</definedName>
    <definedName name="OSRRefP22_0x_0" localSheetId="39">'Div 2'!$P$20:$P$30</definedName>
    <definedName name="OSRRefP22_0x_0" localSheetId="47">'Div 3'!$P$60:$P$69</definedName>
    <definedName name="OSRRefP22_0x_0" localSheetId="68">'Div 4'!$P$31:$P$40</definedName>
    <definedName name="OSRRefP22_0x_0" localSheetId="88">'Div 5'!$P$21:$P$30</definedName>
    <definedName name="OSRRefP22_0x_0" localSheetId="61">'Div 6'!$P$35:$P$44</definedName>
    <definedName name="OSRRefP22_0x_0" localSheetId="2">Summary!$P$68:$P$77</definedName>
    <definedName name="OSRRefP22_10x_0" localSheetId="41">'201'!$P$59:$P$60</definedName>
    <definedName name="OSRRefP22_10x_0" localSheetId="42">'202'!$P$60</definedName>
    <definedName name="OSRRefP22_10x_0" localSheetId="43">'203'!$P$61:$P$62</definedName>
    <definedName name="OSRRefP22_10x_0" localSheetId="44">'204'!$P$64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5">'307'!$P$73:$P$74</definedName>
    <definedName name="OSRRefP22_10x_0" localSheetId="51">'308'!$P$76:$P$77</definedName>
    <definedName name="OSRRefP22_10x_0" localSheetId="64">'309'!$P$50:$P$51</definedName>
    <definedName name="OSRRefP22_10x_0" localSheetId="63">'310'!$P$68</definedName>
    <definedName name="OSRRefP22_10x_0" localSheetId="69">'310 &amp; 491'!$P$69</definedName>
    <definedName name="OSRRefP22_10x_0" localSheetId="52">'311'!$P$76:$P$77</definedName>
    <definedName name="OSRRefP22_10x_0" localSheetId="57">'315'!$P$82</definedName>
    <definedName name="OSRRefP22_10x_0" localSheetId="60">'316'!$P$67:$P$71</definedName>
    <definedName name="OSRRefP22_10x_0" localSheetId="62">'317'!$P$74</definedName>
    <definedName name="OSRRefP22_10x_0" localSheetId="65">'321'!$P$66:$P$69</definedName>
    <definedName name="OSRRefP22_10x_0" localSheetId="66">'325'!$P$63</definedName>
    <definedName name="OSRRefP22_10x_0" localSheetId="58">'326'!$P$66</definedName>
    <definedName name="OSRRefP22_10x_0" localSheetId="56">'331'!$P$83</definedName>
    <definedName name="OSRRefP22_10x_0" localSheetId="59">'332'!$P$67:$P$71</definedName>
    <definedName name="OSRRefP22_10x_0" localSheetId="54">'333'!$P$86</definedName>
    <definedName name="OSRRefP22_10x_0" localSheetId="71">'405'!$P$66:$P$69</definedName>
    <definedName name="OSRRefP22_10x_0" localSheetId="73">'411'!$P$61:$P$63</definedName>
    <definedName name="OSRRefP22_10x_0" localSheetId="77">'415'!$P$66</definedName>
    <definedName name="OSRRefP22_10x_0" localSheetId="78">'418'!$P$67</definedName>
    <definedName name="OSRRefP22_10x_0" localSheetId="84">'433'!$P$65</definedName>
    <definedName name="OSRRefP22_10x_0" localSheetId="86">'444'!$P$65</definedName>
    <definedName name="OSRRefP22_10x_0" localSheetId="87">'450'!$P$65</definedName>
    <definedName name="OSRRefP22_10x_0" localSheetId="70">'491'!$P$68</definedName>
    <definedName name="OSRRefP22_10x_0" localSheetId="82">'492'!$P$67</definedName>
    <definedName name="OSRRefP22_10x_0" localSheetId="89">'501'!$P$62</definedName>
    <definedName name="OSRRefP22_10x_0" localSheetId="39">'Div 2'!$P$60</definedName>
    <definedName name="OSRRefP22_10x_0" localSheetId="47">'Div 3'!$P$100:$P$101</definedName>
    <definedName name="OSRRefP22_10x_0" localSheetId="68">'Div 4'!$P$71</definedName>
    <definedName name="OSRRefP22_10x_0" localSheetId="88">'Div 5'!$P$62</definedName>
    <definedName name="OSRRefP22_10x_0" localSheetId="61">'Div 6'!$P$74</definedName>
    <definedName name="OSRRefP22_10x_0" localSheetId="2">Summary!$P$108:$P$109</definedName>
    <definedName name="OSRRefP22_11x_0" localSheetId="41">'201'!$P$62</definedName>
    <definedName name="OSRRefP22_11x_0" localSheetId="42">'202'!$P$62</definedName>
    <definedName name="OSRRefP22_11x_0" localSheetId="43">'203'!$P$64:$P$67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5">'307'!$P$76</definedName>
    <definedName name="OSRRefP22_11x_0" localSheetId="51">'308'!$P$79:$P$80</definedName>
    <definedName name="OSRRefP22_11x_0" localSheetId="64">'309'!$P$53</definedName>
    <definedName name="OSRRefP22_11x_0" localSheetId="63">'310'!$P$70:$P$72</definedName>
    <definedName name="OSRRefP22_11x_0" localSheetId="69">'310 &amp; 491'!$P$71</definedName>
    <definedName name="OSRRefP22_11x_0" localSheetId="52">'311'!$P$79:$P$80</definedName>
    <definedName name="OSRRefP22_11x_0" localSheetId="57">'315'!$P$84</definedName>
    <definedName name="OSRRefP22_11x_0" localSheetId="60">'316'!$P$73</definedName>
    <definedName name="OSRRefP22_11x_0" localSheetId="65">'321'!$P$71</definedName>
    <definedName name="OSRRefP22_11x_0" localSheetId="66">'325'!$P$65:$P$67</definedName>
    <definedName name="OSRRefP22_11x_0" localSheetId="58">'326'!$P$68:$P$69</definedName>
    <definedName name="OSRRefP22_11x_0" localSheetId="56">'331'!$P$85</definedName>
    <definedName name="OSRRefP22_11x_0" localSheetId="59">'332'!$P$73</definedName>
    <definedName name="OSRRefP22_11x_0" localSheetId="54">'333'!$P$88</definedName>
    <definedName name="OSRRefP22_11x_0" localSheetId="71">'405'!$P$71</definedName>
    <definedName name="OSRRefP22_11x_0" localSheetId="73">'411'!$P$65</definedName>
    <definedName name="OSRRefP22_11x_0" localSheetId="77">'415'!$P$68:$P$69</definedName>
    <definedName name="OSRRefP22_11x_0" localSheetId="78">'418'!$P$69:$P$77</definedName>
    <definedName name="OSRRefP22_11x_0" localSheetId="84">'433'!$P$67:$P$69</definedName>
    <definedName name="OSRRefP22_11x_0" localSheetId="86">'444'!$P$67:$P$68</definedName>
    <definedName name="OSRRefP22_11x_0" localSheetId="87">'450'!$P$67:$P$69</definedName>
    <definedName name="OSRRefP22_11x_0" localSheetId="70">'491'!$P$70</definedName>
    <definedName name="OSRRefP22_11x_0" localSheetId="82">'492'!$P$69</definedName>
    <definedName name="OSRRefP22_11x_0" localSheetId="89">'501'!$P$64:$P$66</definedName>
    <definedName name="OSRRefP22_11x_0" localSheetId="39">'Div 2'!$P$62</definedName>
    <definedName name="OSRRefP22_11x_0" localSheetId="47">'Div 3'!$P$103:$P$104</definedName>
    <definedName name="OSRRefP22_11x_0" localSheetId="68">'Div 4'!$P$73</definedName>
    <definedName name="OSRRefP22_11x_0" localSheetId="88">'Div 5'!$P$64:$P$66</definedName>
    <definedName name="OSRRefP22_11x_0" localSheetId="2">Summary!$P$111:$P$113</definedName>
    <definedName name="OSRRefP22_12x_0" localSheetId="41">'201'!$P$64:$P$65</definedName>
    <definedName name="OSRRefP22_12x_0" localSheetId="42">'202'!$P$64</definedName>
    <definedName name="OSRRefP22_12x_0" localSheetId="43">'203'!$P$69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5">'307'!$P$78:$P$81</definedName>
    <definedName name="OSRRefP22_12x_0" localSheetId="51">'308'!$P$82:$P$83</definedName>
    <definedName name="OSRRefP22_12x_0" localSheetId="64">'309'!$P$55</definedName>
    <definedName name="OSRRefP22_12x_0" localSheetId="63">'310'!$P$74:$P$75</definedName>
    <definedName name="OSRRefP22_12x_0" localSheetId="69">'310 &amp; 491'!$P$73</definedName>
    <definedName name="OSRRefP22_12x_0" localSheetId="52">'311'!$P$82:$P$83</definedName>
    <definedName name="OSRRefP22_12x_0" localSheetId="57">'315'!$P$86:$P$87</definedName>
    <definedName name="OSRRefP22_12x_0" localSheetId="65">'321'!$P$73</definedName>
    <definedName name="OSRRefP22_12x_0" localSheetId="66">'325'!$P$69:$P$71</definedName>
    <definedName name="OSRRefP22_12x_0" localSheetId="58">'326'!$P$71:$P$72</definedName>
    <definedName name="OSRRefP22_12x_0" localSheetId="56">'331'!$P$87</definedName>
    <definedName name="OSRRefP22_12x_0" localSheetId="54">'333'!$P$90</definedName>
    <definedName name="OSRRefP22_12x_0" localSheetId="71">'405'!$P$73:$P$81</definedName>
    <definedName name="OSRRefP22_12x_0" localSheetId="73">'411'!$P$67:$P$68</definedName>
    <definedName name="OSRRefP22_12x_0" localSheetId="77">'415'!$P$71:$P$74</definedName>
    <definedName name="OSRRefP22_12x_0" localSheetId="78">'418'!$P$79:$P$80</definedName>
    <definedName name="OSRRefP22_12x_0" localSheetId="84">'433'!$P$71:$P$74</definedName>
    <definedName name="OSRRefP22_12x_0" localSheetId="86">'444'!$P$70:$P$73</definedName>
    <definedName name="OSRRefP22_12x_0" localSheetId="87">'450'!$P$71:$P$74</definedName>
    <definedName name="OSRRefP22_12x_0" localSheetId="70">'491'!$P$72</definedName>
    <definedName name="OSRRefP22_12x_0" localSheetId="82">'492'!$P$71:$P$73</definedName>
    <definedName name="OSRRefP22_12x_0" localSheetId="89">'501'!$P$68</definedName>
    <definedName name="OSRRefP22_12x_0" localSheetId="39">'Div 2'!$P$64:$P$67</definedName>
    <definedName name="OSRRefP22_12x_0" localSheetId="47">'Div 3'!$P$106</definedName>
    <definedName name="OSRRefP22_12x_0" localSheetId="68">'Div 4'!$P$75</definedName>
    <definedName name="OSRRefP22_12x_0" localSheetId="88">'Div 5'!$P$68</definedName>
    <definedName name="OSRRefP22_12x_0" localSheetId="2">Summary!$P$115</definedName>
    <definedName name="OSRRefP22_13x_0" localSheetId="41">'201'!$P$67</definedName>
    <definedName name="OSRRefP22_13x_0" localSheetId="43">'203'!$P$71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55">'307'!$P$83</definedName>
    <definedName name="OSRRefP22_13x_0" localSheetId="51">'308'!$P$85</definedName>
    <definedName name="OSRRefP22_13x_0" localSheetId="63">'310'!$P$77:$P$79</definedName>
    <definedName name="OSRRefP22_13x_0" localSheetId="69">'310 &amp; 491'!$P$75:$P$78</definedName>
    <definedName name="OSRRefP22_13x_0" localSheetId="52">'311'!$P$85</definedName>
    <definedName name="OSRRefP22_13x_0" localSheetId="57">'315'!$P$89:$P$91</definedName>
    <definedName name="OSRRefP22_13x_0" localSheetId="66">'325'!$P$73:$P$78</definedName>
    <definedName name="OSRRefP22_13x_0" localSheetId="58">'326'!$P$74:$P$75</definedName>
    <definedName name="OSRRefP22_13x_0" localSheetId="56">'331'!$P$89</definedName>
    <definedName name="OSRRefP22_13x_0" localSheetId="54">'333'!$P$92</definedName>
    <definedName name="OSRRefP22_13x_0" localSheetId="71">'405'!$P$83</definedName>
    <definedName name="OSRRefP22_13x_0" localSheetId="73">'411'!$P$70</definedName>
    <definedName name="OSRRefP22_13x_0" localSheetId="77">'415'!$P$76</definedName>
    <definedName name="OSRRefP22_13x_0" localSheetId="78">'418'!$P$82</definedName>
    <definedName name="OSRRefP22_13x_0" localSheetId="84">'433'!$P$76:$P$83</definedName>
    <definedName name="OSRRefP22_13x_0" localSheetId="86">'444'!$P$75</definedName>
    <definedName name="OSRRefP22_13x_0" localSheetId="87">'450'!$P$76:$P$82</definedName>
    <definedName name="OSRRefP22_13x_0" localSheetId="70">'491'!$P$74:$P$77</definedName>
    <definedName name="OSRRefP22_13x_0" localSheetId="82">'492'!$P$75:$P$78</definedName>
    <definedName name="OSRRefP22_13x_0" localSheetId="89">'501'!$P$70</definedName>
    <definedName name="OSRRefP22_13x_0" localSheetId="39">'Div 2'!$P$69:$P$72</definedName>
    <definedName name="OSRRefP22_13x_0" localSheetId="47">'Div 3'!$P$108</definedName>
    <definedName name="OSRRefP22_13x_0" localSheetId="68">'Div 4'!$P$77</definedName>
    <definedName name="OSRRefP22_13x_0" localSheetId="88">'Div 5'!$P$70</definedName>
    <definedName name="OSRRefP22_13x_0" localSheetId="2">Summary!$P$117</definedName>
    <definedName name="OSRRefP22_14x_0" localSheetId="41">'201'!$P$69</definedName>
    <definedName name="OSRRefP22_14x_0" localSheetId="43">'203'!$P$73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3">'310'!$P$81:$P$86</definedName>
    <definedName name="OSRRefP22_14x_0" localSheetId="69">'310 &amp; 491'!$P$80:$P$81</definedName>
    <definedName name="OSRRefP22_14x_0" localSheetId="57">'315'!$P$93:$P$94</definedName>
    <definedName name="OSRRefP22_14x_0" localSheetId="66">'325'!$P$80:$P$81</definedName>
    <definedName name="OSRRefP22_14x_0" localSheetId="58">'326'!$P$77:$P$79</definedName>
    <definedName name="OSRRefP22_14x_0" localSheetId="56">'331'!$P$91:$P$92</definedName>
    <definedName name="OSRRefP22_14x_0" localSheetId="54">'333'!$P$94:$P$95</definedName>
    <definedName name="OSRRefP22_14x_0" localSheetId="71">'405'!$P$85</definedName>
    <definedName name="OSRRefP22_14x_0" localSheetId="73">'411'!$P$72</definedName>
    <definedName name="OSRRefP22_14x_0" localSheetId="77">'415'!$P$78:$P$85</definedName>
    <definedName name="OSRRefP22_14x_0" localSheetId="78">'418'!$P$84</definedName>
    <definedName name="OSRRefP22_14x_0" localSheetId="84">'433'!$P$85</definedName>
    <definedName name="OSRRefP22_14x_0" localSheetId="86">'444'!$P$77:$P$85</definedName>
    <definedName name="OSRRefP22_14x_0" localSheetId="87">'450'!$P$84</definedName>
    <definedName name="OSRRefP22_14x_0" localSheetId="70">'491'!$P$79</definedName>
    <definedName name="OSRRefP22_14x_0" localSheetId="82">'492'!$P$80</definedName>
    <definedName name="OSRRefP22_14x_0" localSheetId="39">'Div 2'!$P$74:$P$75</definedName>
    <definedName name="OSRRefP22_14x_0" localSheetId="47">'Div 3'!$P$110</definedName>
    <definedName name="OSRRefP22_14x_0" localSheetId="68">'Div 4'!$P$79</definedName>
    <definedName name="OSRRefP22_14x_0" localSheetId="2">Summary!$P$119</definedName>
    <definedName name="OSRRefP22_15x_0" localSheetId="41">'201'!$P$71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3">'310'!$P$88:$P$89</definedName>
    <definedName name="OSRRefP22_15x_0" localSheetId="69">'310 &amp; 491'!$P$83:$P$87</definedName>
    <definedName name="OSRRefP22_15x_0" localSheetId="57">'315'!$P$96:$P$99</definedName>
    <definedName name="OSRRefP22_15x_0" localSheetId="66">'325'!$P$83</definedName>
    <definedName name="OSRRefP22_15x_0" localSheetId="58">'326'!$P$81</definedName>
    <definedName name="OSRRefP22_15x_0" localSheetId="56">'331'!$P$94:$P$96</definedName>
    <definedName name="OSRRefP22_15x_0" localSheetId="54">'333'!$P$97:$P$99</definedName>
    <definedName name="OSRRefP22_15x_0" localSheetId="71">'405'!$P$87</definedName>
    <definedName name="OSRRefP22_15x_0" localSheetId="73">'411'!$P$74:$P$75</definedName>
    <definedName name="OSRRefP22_15x_0" localSheetId="77">'415'!$P$87:$P$88</definedName>
    <definedName name="OSRRefP22_15x_0" localSheetId="78">'418'!$P$86</definedName>
    <definedName name="OSRRefP22_15x_0" localSheetId="84">'433'!$P$87</definedName>
    <definedName name="OSRRefP22_15x_0" localSheetId="86">'444'!$P$87</definedName>
    <definedName name="OSRRefP22_15x_0" localSheetId="87">'450'!$P$86</definedName>
    <definedName name="OSRRefP22_15x_0" localSheetId="70">'491'!$P$81:$P$85</definedName>
    <definedName name="OSRRefP22_15x_0" localSheetId="82">'492'!$P$82:$P$90</definedName>
    <definedName name="OSRRefP22_15x_0" localSheetId="39">'Div 2'!$P$77:$P$78</definedName>
    <definedName name="OSRRefP22_15x_0" localSheetId="47">'Div 3'!$P$112</definedName>
    <definedName name="OSRRefP22_15x_0" localSheetId="68">'Div 4'!$P$81:$P$84</definedName>
    <definedName name="OSRRefP22_15x_0" localSheetId="2">Summary!$P$121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3">'310'!$P$91</definedName>
    <definedName name="OSRRefP22_16x_0" localSheetId="69">'310 &amp; 491'!$P$89</definedName>
    <definedName name="OSRRefP22_16x_0" localSheetId="57">'315'!$P$101</definedName>
    <definedName name="OSRRefP22_16x_0" localSheetId="66">'325'!$P$85</definedName>
    <definedName name="OSRRefP22_16x_0" localSheetId="58">'326'!$P$83:$P$84</definedName>
    <definedName name="OSRRefP22_16x_0" localSheetId="56">'331'!$P$98:$P$99</definedName>
    <definedName name="OSRRefP22_16x_0" localSheetId="54">'333'!$P$101:$P$103</definedName>
    <definedName name="OSRRefP22_16x_0" localSheetId="71">'405'!$P$89</definedName>
    <definedName name="OSRRefP22_16x_0" localSheetId="73">'411'!$P$77</definedName>
    <definedName name="OSRRefP22_16x_0" localSheetId="77">'415'!$P$90</definedName>
    <definedName name="OSRRefP22_16x_0" localSheetId="86">'444'!$P$89</definedName>
    <definedName name="OSRRefP22_16x_0" localSheetId="87">'450'!$P$88</definedName>
    <definedName name="OSRRefP22_16x_0" localSheetId="70">'491'!$P$87</definedName>
    <definedName name="OSRRefP22_16x_0" localSheetId="82">'492'!$P$92:$P$93</definedName>
    <definedName name="OSRRefP22_16x_0" localSheetId="39">'Div 2'!$P$80:$P$85</definedName>
    <definedName name="OSRRefP22_16x_0" localSheetId="47">'Div 3'!$P$114</definedName>
    <definedName name="OSRRefP22_16x_0" localSheetId="68">'Div 4'!$P$86</definedName>
    <definedName name="OSRRefP22_16x_0" localSheetId="2">Summary!$P$123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63">'310'!$P$93</definedName>
    <definedName name="OSRRefP22_17x_0" localSheetId="69">'310 &amp; 491'!$P$91:$P$100</definedName>
    <definedName name="OSRRefP22_17x_0" localSheetId="57">'315'!$P$103</definedName>
    <definedName name="OSRRefP22_17x_0" localSheetId="58">'326'!$P$86</definedName>
    <definedName name="OSRRefP22_17x_0" localSheetId="56">'331'!$P$101:$P$102</definedName>
    <definedName name="OSRRefP22_17x_0" localSheetId="54">'333'!$P$105:$P$106</definedName>
    <definedName name="OSRRefP22_17x_0" localSheetId="77">'415'!$P$92</definedName>
    <definedName name="OSRRefP22_17x_0" localSheetId="70">'491'!$P$89:$P$98</definedName>
    <definedName name="OSRRefP22_17x_0" localSheetId="82">'492'!$P$95</definedName>
    <definedName name="OSRRefP22_17x_0" localSheetId="39">'Div 2'!$P$87:$P$88</definedName>
    <definedName name="OSRRefP22_17x_0" localSheetId="47">'Div 3'!$P$116:$P$119</definedName>
    <definedName name="OSRRefP22_17x_0" localSheetId="68">'Div 4'!$P$88:$P$92</definedName>
    <definedName name="OSRRefP22_17x_0" localSheetId="2">Summary!$P$125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69">'310 &amp; 491'!$P$102:$P$103</definedName>
    <definedName name="OSRRefP22_18x_0" localSheetId="57">'315'!$P$105</definedName>
    <definedName name="OSRRefP22_18x_0" localSheetId="56">'331'!$P$104:$P$108</definedName>
    <definedName name="OSRRefP22_18x_0" localSheetId="54">'333'!$P$108:$P$113</definedName>
    <definedName name="OSRRefP22_18x_0" localSheetId="70">'491'!$P$100:$P$101</definedName>
    <definedName name="OSRRefP22_18x_0" localSheetId="82">'492'!$P$97:$P$98</definedName>
    <definedName name="OSRRefP22_18x_0" localSheetId="39">'Div 2'!$P$90</definedName>
    <definedName name="OSRRefP22_18x_0" localSheetId="47">'Div 3'!$P$121:$P$124</definedName>
    <definedName name="OSRRefP22_18x_0" localSheetId="68">'Div 4'!$P$94:$P$95</definedName>
    <definedName name="OSRRefP22_18x_0" localSheetId="2">Summary!$P$127:$P$130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69">'310 &amp; 491'!$P$105</definedName>
    <definedName name="OSRRefP22_19x_0" localSheetId="56">'331'!$P$110</definedName>
    <definedName name="OSRRefP22_19x_0" localSheetId="54">'333'!$P$115</definedName>
    <definedName name="OSRRefP22_19x_0" localSheetId="70">'491'!$P$103</definedName>
    <definedName name="OSRRefP22_19x_0" localSheetId="39">'Div 2'!$P$92:$P$93</definedName>
    <definedName name="OSRRefP22_19x_0" localSheetId="47">'Div 3'!$P$126:$P$129</definedName>
    <definedName name="OSRRefP22_19x_0" localSheetId="68">'Div 4'!$P$97:$P$106</definedName>
    <definedName name="OSRRefP22_19x_0" localSheetId="2">Summary!$P$132:$P$135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5">'307'!$P$44:$P$53</definedName>
    <definedName name="OSRRefP22_1x_0" localSheetId="51">'308'!$P$46:$P$55</definedName>
    <definedName name="OSRRefP22_1x_0" localSheetId="64">'309'!$P$29:$P$30</definedName>
    <definedName name="OSRRefP22_1x_0" localSheetId="63">'310'!$P$40:$P$49</definedName>
    <definedName name="OSRRefP22_1x_0" localSheetId="69">'310 &amp; 491'!$P$40:$P$49</definedName>
    <definedName name="OSRRefP22_1x_0" localSheetId="52">'311'!$P$46:$P$55</definedName>
    <definedName name="OSRRefP22_1x_0" localSheetId="57">'315'!$P$54:$P$63</definedName>
    <definedName name="OSRRefP22_1x_0" localSheetId="60">'316'!$P$37:$P$46</definedName>
    <definedName name="OSRRefP22_1x_0" localSheetId="62">'317'!$P$46:$P$55</definedName>
    <definedName name="OSRRefP22_1x_0" localSheetId="65">'321'!$P$35:$P$44</definedName>
    <definedName name="OSRRefP22_1x_0" localSheetId="66">'325'!$P$35:$P$44</definedName>
    <definedName name="OSRRefP22_1x_0" localSheetId="58">'326'!$P$38:$P$47</definedName>
    <definedName name="OSRRefP22_1x_0" localSheetId="67">'327'!$P$28</definedName>
    <definedName name="OSRRefP22_1x_0" localSheetId="56">'331'!$P$54:$P$63</definedName>
    <definedName name="OSRRefP22_1x_0" localSheetId="59">'332'!$P$37:$P$46</definedName>
    <definedName name="OSRRefP22_1x_0" localSheetId="54">'333'!$P$56:$P$65</definedName>
    <definedName name="OSRRefP22_1x_0" localSheetId="71">'405'!$P$37:$P$46</definedName>
    <definedName name="OSRRefP22_1x_0" localSheetId="72">'406'!$P$22</definedName>
    <definedName name="OSRRefP22_1x_0" localSheetId="73">'411'!$P$30:$P$39</definedName>
    <definedName name="OSRRefP22_1x_0" localSheetId="74">'412'!$P$22</definedName>
    <definedName name="OSRRefP22_1x_0" localSheetId="75">'413'!$P$22</definedName>
    <definedName name="OSRRefP22_1x_0" localSheetId="76">'414'!$P$22</definedName>
    <definedName name="OSRRefP22_1x_0" localSheetId="77">'415'!$P$38:$P$47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'425'!$P$24</definedName>
    <definedName name="OSRRefP22_1x_0" localSheetId="83">'430'!$P$30:$P$39</definedName>
    <definedName name="OSRRefP22_1x_0" localSheetId="84">'433'!$P$38:$P$47</definedName>
    <definedName name="OSRRefP22_1x_0" localSheetId="85">'435'!$P$26</definedName>
    <definedName name="OSRRefP22_1x_0" localSheetId="86">'444'!$P$38:$P$47</definedName>
    <definedName name="OSRRefP22_1x_0" localSheetId="87">'450'!$P$38:$P$47</definedName>
    <definedName name="OSRRefP22_1x_0" localSheetId="70">'491'!$P$39:$P$48</definedName>
    <definedName name="OSRRefP22_1x_0" localSheetId="82">'492'!$P$40:$P$49</definedName>
    <definedName name="OSRRefP22_1x_0" localSheetId="89">'501'!$P$32:$P$41</definedName>
    <definedName name="OSRRefP22_1x_0" localSheetId="39">'Div 2'!$P$32:$P$41</definedName>
    <definedName name="OSRRefP22_1x_0" localSheetId="47">'Div 3'!$P$71:$P$80</definedName>
    <definedName name="OSRRefP22_1x_0" localSheetId="68">'Div 4'!$P$42:$P$51</definedName>
    <definedName name="OSRRefP22_1x_0" localSheetId="88">'Div 5'!$P$32:$P$41</definedName>
    <definedName name="OSRRefP22_1x_0" localSheetId="61">'Div 6'!$P$46:$P$55</definedName>
    <definedName name="OSRRefP22_1x_0" localSheetId="2">Summary!$P$79:$P$88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69">'310 &amp; 491'!$P$107:$P$108</definedName>
    <definedName name="OSRRefP22_20x_0" localSheetId="56">'331'!$P$112</definedName>
    <definedName name="OSRRefP22_20x_0" localSheetId="54">'333'!$P$117</definedName>
    <definedName name="OSRRefP22_20x_0" localSheetId="70">'491'!$P$105:$P$106</definedName>
    <definedName name="OSRRefP22_20x_0" localSheetId="47">'Div 3'!$P$131:$P$132</definedName>
    <definedName name="OSRRefP22_20x_0" localSheetId="68">'Div 4'!$P$108:$P$109</definedName>
    <definedName name="OSRRefP22_20x_0" localSheetId="2">Summary!$P$137:$P$141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'301'!$P$92:$P$94</definedName>
    <definedName name="OSRRefP22_21x_0" localSheetId="69">'310 &amp; 491'!$P$110</definedName>
    <definedName name="OSRRefP22_21x_0" localSheetId="56">'331'!$P$114:$P$115</definedName>
    <definedName name="OSRRefP22_21x_0" localSheetId="54">'333'!$P$119:$P$120</definedName>
    <definedName name="OSRRefP22_21x_0" localSheetId="70">'491'!$P$108</definedName>
    <definedName name="OSRRefP22_21x_0" localSheetId="47">'Div 3'!$P$134:$P$140</definedName>
    <definedName name="OSRRefP22_21x_0" localSheetId="68">'Div 4'!$P$111</definedName>
    <definedName name="OSRRefP22_21x_0" localSheetId="2">Summary!$P$143:$P$144</definedName>
    <definedName name="OSRRefP22_22x_0" localSheetId="48">'300'!$P$136</definedName>
    <definedName name="OSRRefP22_22x_0" localSheetId="49">'300 &amp; 317'!$P$142</definedName>
    <definedName name="OSRRefP22_22x_0" localSheetId="50">'301'!$P$96</definedName>
    <definedName name="OSRRefP22_22x_0" localSheetId="56">'331'!$P$117</definedName>
    <definedName name="OSRRefP22_22x_0" localSheetId="54">'333'!$P$122</definedName>
    <definedName name="OSRRefP22_22x_0" localSheetId="47">'Div 3'!$P$142:$P$143</definedName>
    <definedName name="OSRRefP22_22x_0" localSheetId="68">'Div 4'!$P$113:$P$114</definedName>
    <definedName name="OSRRefP22_22x_0" localSheetId="2">Summary!$P$146:$P$155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3'!$P$145</definedName>
    <definedName name="OSRRefP22_23x_0" localSheetId="68">'Div 4'!$P$116</definedName>
    <definedName name="OSRRefP22_23x_0" localSheetId="2">Summary!$P$157:$P$158</definedName>
    <definedName name="OSRRefP22_24x_0" localSheetId="48">'300'!$P$142</definedName>
    <definedName name="OSRRefP22_24x_0" localSheetId="49">'300 &amp; 317'!$P$148</definedName>
    <definedName name="OSRRefP22_24x_0" localSheetId="47">'Div 3'!$P$147:$P$149</definedName>
    <definedName name="OSRRefP22_24x_0" localSheetId="2">Summary!$P$160</definedName>
    <definedName name="OSRRefP22_25x_0" localSheetId="47">'Div 3'!$P$151</definedName>
    <definedName name="OSRRefP22_25x_0" localSheetId="2">Summary!$P$162:$P$164</definedName>
    <definedName name="OSRRefP22_26x_0" localSheetId="2">Summary!$P$166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5">'307'!$P$55</definedName>
    <definedName name="OSRRefP22_2x_0" localSheetId="51">'308'!$P$57</definedName>
    <definedName name="OSRRefP22_2x_0" localSheetId="64">'309'!$P$32</definedName>
    <definedName name="OSRRefP22_2x_0" localSheetId="63">'310'!$P$51</definedName>
    <definedName name="OSRRefP22_2x_0" localSheetId="69">'310 &amp; 491'!$P$51</definedName>
    <definedName name="OSRRefP22_2x_0" localSheetId="52">'311'!$P$57</definedName>
    <definedName name="OSRRefP22_2x_0" localSheetId="57">'315'!$P$65</definedName>
    <definedName name="OSRRefP22_2x_0" localSheetId="60">'316'!$P$48</definedName>
    <definedName name="OSRRefP22_2x_0" localSheetId="62">'317'!$P$57</definedName>
    <definedName name="OSRRefP22_2x_0" localSheetId="65">'321'!$P$46</definedName>
    <definedName name="OSRRefP22_2x_0" localSheetId="66">'325'!$P$46</definedName>
    <definedName name="OSRRefP22_2x_0" localSheetId="58">'326'!$P$49</definedName>
    <definedName name="OSRRefP22_2x_0" localSheetId="56">'331'!$P$65</definedName>
    <definedName name="OSRRefP22_2x_0" localSheetId="59">'332'!$P$48</definedName>
    <definedName name="OSRRefP22_2x_0" localSheetId="54">'333'!$P$67</definedName>
    <definedName name="OSRRefP22_2x_0" localSheetId="71">'405'!$P$48</definedName>
    <definedName name="OSRRefP22_2x_0" localSheetId="73">'411'!$P$41</definedName>
    <definedName name="OSRRefP22_2x_0" localSheetId="74">'412'!$P$24</definedName>
    <definedName name="OSRRefP22_2x_0" localSheetId="75">'413'!$P$24</definedName>
    <definedName name="OSRRefP22_2x_0" localSheetId="76">'414'!$P$24</definedName>
    <definedName name="OSRRefP22_2x_0" localSheetId="77">'415'!$P$49</definedName>
    <definedName name="OSRRefP22_2x_0" localSheetId="78">'418'!$P$45</definedName>
    <definedName name="OSRRefP22_2x_0" localSheetId="79">'423'!$P$40</definedName>
    <definedName name="OSRRefP22_2x_0" localSheetId="80">'424'!$P$24</definedName>
    <definedName name="OSRRefP22_2x_0" localSheetId="81">'425'!$P$26</definedName>
    <definedName name="OSRRefP22_2x_0" localSheetId="83">'430'!$P$41</definedName>
    <definedName name="OSRRefP22_2x_0" localSheetId="84">'433'!$P$49</definedName>
    <definedName name="OSRRefP22_2x_0" localSheetId="85">'435'!$P$28</definedName>
    <definedName name="OSRRefP22_2x_0" localSheetId="86">'444'!$P$49</definedName>
    <definedName name="OSRRefP22_2x_0" localSheetId="87">'450'!$P$49</definedName>
    <definedName name="OSRRefP22_2x_0" localSheetId="70">'491'!$P$50</definedName>
    <definedName name="OSRRefP22_2x_0" localSheetId="82">'492'!$P$51</definedName>
    <definedName name="OSRRefP22_2x_0" localSheetId="89">'501'!$P$43</definedName>
    <definedName name="OSRRefP22_2x_0" localSheetId="39">'Div 2'!$P$43</definedName>
    <definedName name="OSRRefP22_2x_0" localSheetId="47">'Div 3'!$P$82</definedName>
    <definedName name="OSRRefP22_2x_0" localSheetId="68">'Div 4'!$P$53</definedName>
    <definedName name="OSRRefP22_2x_0" localSheetId="88">'Div 5'!$P$43</definedName>
    <definedName name="OSRRefP22_2x_0" localSheetId="61">'Div 6'!$P$57</definedName>
    <definedName name="OSRRefP22_2x_0" localSheetId="2">Summary!$P$90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5">'307'!$P$57</definedName>
    <definedName name="OSRRefP22_3x_0" localSheetId="51">'308'!$P$59</definedName>
    <definedName name="OSRRefP22_3x_0" localSheetId="64">'309'!$P$34</definedName>
    <definedName name="OSRRefP22_3x_0" localSheetId="63">'310'!$P$53</definedName>
    <definedName name="OSRRefP22_3x_0" localSheetId="69">'310 &amp; 491'!$P$53</definedName>
    <definedName name="OSRRefP22_3x_0" localSheetId="52">'311'!$P$59</definedName>
    <definedName name="OSRRefP22_3x_0" localSheetId="57">'315'!$P$67</definedName>
    <definedName name="OSRRefP22_3x_0" localSheetId="60">'316'!$P$50</definedName>
    <definedName name="OSRRefP22_3x_0" localSheetId="62">'317'!$P$59</definedName>
    <definedName name="OSRRefP22_3x_0" localSheetId="65">'321'!$P$48</definedName>
    <definedName name="OSRRefP22_3x_0" localSheetId="66">'325'!$P$48</definedName>
    <definedName name="OSRRefP22_3x_0" localSheetId="58">'326'!$P$51</definedName>
    <definedName name="OSRRefP22_3x_0" localSheetId="56">'331'!$P$67</definedName>
    <definedName name="OSRRefP22_3x_0" localSheetId="59">'332'!$P$50</definedName>
    <definedName name="OSRRefP22_3x_0" localSheetId="54">'333'!$P$69</definedName>
    <definedName name="OSRRefP22_3x_0" localSheetId="71">'405'!$P$50</definedName>
    <definedName name="OSRRefP22_3x_0" localSheetId="73">'411'!$P$43:$P$44</definedName>
    <definedName name="OSRRefP22_3x_0" localSheetId="74">'412'!$P$26</definedName>
    <definedName name="OSRRefP22_3x_0" localSheetId="77">'415'!$P$51</definedName>
    <definedName name="OSRRefP22_3x_0" localSheetId="78">'418'!$P$47</definedName>
    <definedName name="OSRRefP22_3x_0" localSheetId="79">'423'!$P$42</definedName>
    <definedName name="OSRRefP22_3x_0" localSheetId="81">'425'!$P$28</definedName>
    <definedName name="OSRRefP22_3x_0" localSheetId="83">'430'!$P$43</definedName>
    <definedName name="OSRRefP22_3x_0" localSheetId="84">'433'!$P$51</definedName>
    <definedName name="OSRRefP22_3x_0" localSheetId="85">'435'!$P$30</definedName>
    <definedName name="OSRRefP22_3x_0" localSheetId="86">'444'!$P$51</definedName>
    <definedName name="OSRRefP22_3x_0" localSheetId="87">'450'!$P$51</definedName>
    <definedName name="OSRRefP22_3x_0" localSheetId="70">'491'!$P$52</definedName>
    <definedName name="OSRRefP22_3x_0" localSheetId="82">'492'!$P$53</definedName>
    <definedName name="OSRRefP22_3x_0" localSheetId="89">'501'!$P$45</definedName>
    <definedName name="OSRRefP22_3x_0" localSheetId="39">'Div 2'!$P$45</definedName>
    <definedName name="OSRRefP22_3x_0" localSheetId="47">'Div 3'!$P$84</definedName>
    <definedName name="OSRRefP22_3x_0" localSheetId="68">'Div 4'!$P$55</definedName>
    <definedName name="OSRRefP22_3x_0" localSheetId="88">'Div 5'!$P$45</definedName>
    <definedName name="OSRRefP22_3x_0" localSheetId="61">'Div 6'!$P$59</definedName>
    <definedName name="OSRRefP22_3x_0" localSheetId="2">Summary!$P$92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'204'!$P$47</definedName>
    <definedName name="OSRRefP22_4x_0" localSheetId="45">'205'!$P$45:$P$47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5">'307'!$P$59</definedName>
    <definedName name="OSRRefP22_4x_0" localSheetId="51">'308'!$P$61</definedName>
    <definedName name="OSRRefP22_4x_0" localSheetId="64">'309'!$P$36</definedName>
    <definedName name="OSRRefP22_4x_0" localSheetId="63">'310'!$P$55</definedName>
    <definedName name="OSRRefP22_4x_0" localSheetId="69">'310 &amp; 491'!$P$55</definedName>
    <definedName name="OSRRefP22_4x_0" localSheetId="52">'311'!$P$61</definedName>
    <definedName name="OSRRefP22_4x_0" localSheetId="57">'315'!$P$69</definedName>
    <definedName name="OSRRefP22_4x_0" localSheetId="60">'316'!$P$52</definedName>
    <definedName name="OSRRefP22_4x_0" localSheetId="62">'317'!$P$61</definedName>
    <definedName name="OSRRefP22_4x_0" localSheetId="65">'321'!$P$50</definedName>
    <definedName name="OSRRefP22_4x_0" localSheetId="66">'325'!$P$50</definedName>
    <definedName name="OSRRefP22_4x_0" localSheetId="58">'326'!$P$53</definedName>
    <definedName name="OSRRefP22_4x_0" localSheetId="56">'331'!$P$69</definedName>
    <definedName name="OSRRefP22_4x_0" localSheetId="59">'332'!$P$52</definedName>
    <definedName name="OSRRefP22_4x_0" localSheetId="54">'333'!$P$71</definedName>
    <definedName name="OSRRefP22_4x_0" localSheetId="71">'405'!$P$52</definedName>
    <definedName name="OSRRefP22_4x_0" localSheetId="73">'411'!$P$46</definedName>
    <definedName name="OSRRefP22_4x_0" localSheetId="74">'412'!$P$28</definedName>
    <definedName name="OSRRefP22_4x_0" localSheetId="77">'415'!$P$53</definedName>
    <definedName name="OSRRefP22_4x_0" localSheetId="78">'418'!$P$49:$P$50</definedName>
    <definedName name="OSRRefP22_4x_0" localSheetId="79">'423'!$P$44</definedName>
    <definedName name="OSRRefP22_4x_0" localSheetId="81">'425'!$P$30</definedName>
    <definedName name="OSRRefP22_4x_0" localSheetId="83">'430'!$P$45</definedName>
    <definedName name="OSRRefP22_4x_0" localSheetId="84">'433'!$P$53</definedName>
    <definedName name="OSRRefP22_4x_0" localSheetId="85">'435'!$P$32</definedName>
    <definedName name="OSRRefP22_4x_0" localSheetId="86">'444'!$P$53</definedName>
    <definedName name="OSRRefP22_4x_0" localSheetId="87">'450'!$P$53</definedName>
    <definedName name="OSRRefP22_4x_0" localSheetId="70">'491'!$P$54</definedName>
    <definedName name="OSRRefP22_4x_0" localSheetId="82">'492'!$P$55</definedName>
    <definedName name="OSRRefP22_4x_0" localSheetId="89">'501'!$P$47</definedName>
    <definedName name="OSRRefP22_4x_0" localSheetId="39">'Div 2'!$P$47</definedName>
    <definedName name="OSRRefP22_4x_0" localSheetId="47">'Div 3'!$P$86</definedName>
    <definedName name="OSRRefP22_4x_0" localSheetId="68">'Div 4'!$P$57</definedName>
    <definedName name="OSRRefP22_4x_0" localSheetId="88">'Div 5'!$P$47</definedName>
    <definedName name="OSRRefP22_4x_0" localSheetId="61">'Div 6'!$P$61</definedName>
    <definedName name="OSRRefP22_4x_0" localSheetId="2">Summary!$P$94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'204'!$P$49:$P$52</definedName>
    <definedName name="OSRRefP22_5x_0" localSheetId="45">'205'!$P$49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5">'307'!$P$61:$P$62</definedName>
    <definedName name="OSRRefP22_5x_0" localSheetId="51">'308'!$P$63</definedName>
    <definedName name="OSRRefP22_5x_0" localSheetId="64">'309'!$P$38</definedName>
    <definedName name="OSRRefP22_5x_0" localSheetId="63">'310'!$P$57:$P$58</definedName>
    <definedName name="OSRRefP22_5x_0" localSheetId="69">'310 &amp; 491'!$P$57:$P$58</definedName>
    <definedName name="OSRRefP22_5x_0" localSheetId="52">'311'!$P$63</definedName>
    <definedName name="OSRRefP22_5x_0" localSheetId="57">'315'!$P$71</definedName>
    <definedName name="OSRRefP22_5x_0" localSheetId="60">'316'!$P$54:$P$55</definedName>
    <definedName name="OSRRefP22_5x_0" localSheetId="62">'317'!$P$63</definedName>
    <definedName name="OSRRefP22_5x_0" localSheetId="65">'321'!$P$52</definedName>
    <definedName name="OSRRefP22_5x_0" localSheetId="66">'325'!$P$52:$P$53</definedName>
    <definedName name="OSRRefP22_5x_0" localSheetId="58">'326'!$P$55</definedName>
    <definedName name="OSRRefP22_5x_0" localSheetId="56">'331'!$P$71</definedName>
    <definedName name="OSRRefP22_5x_0" localSheetId="59">'332'!$P$54:$P$55</definedName>
    <definedName name="OSRRefP22_5x_0" localSheetId="54">'333'!$P$73:$P$74</definedName>
    <definedName name="OSRRefP22_5x_0" localSheetId="71">'405'!$P$54:$P$55</definedName>
    <definedName name="OSRRefP22_5x_0" localSheetId="73">'411'!$P$48</definedName>
    <definedName name="OSRRefP22_5x_0" localSheetId="77">'415'!$P$55:$P$56</definedName>
    <definedName name="OSRRefP22_5x_0" localSheetId="78">'418'!$P$52</definedName>
    <definedName name="OSRRefP22_5x_0" localSheetId="79">'423'!$P$46</definedName>
    <definedName name="OSRRefP22_5x_0" localSheetId="81">'425'!$P$32</definedName>
    <definedName name="OSRRefP22_5x_0" localSheetId="83">'430'!$P$47:$P$49</definedName>
    <definedName name="OSRRefP22_5x_0" localSheetId="84">'433'!$P$55</definedName>
    <definedName name="OSRRefP22_5x_0" localSheetId="86">'444'!$P$55</definedName>
    <definedName name="OSRRefP22_5x_0" localSheetId="87">'450'!$P$55</definedName>
    <definedName name="OSRRefP22_5x_0" localSheetId="70">'491'!$P$56:$P$57</definedName>
    <definedName name="OSRRefP22_5x_0" localSheetId="82">'492'!$P$57</definedName>
    <definedName name="OSRRefP22_5x_0" localSheetId="89">'501'!$P$49:$P$50</definedName>
    <definedName name="OSRRefP22_5x_0" localSheetId="39">'Div 2'!$P$49:$P$50</definedName>
    <definedName name="OSRRefP22_5x_0" localSheetId="47">'Div 3'!$P$88:$P$89</definedName>
    <definedName name="OSRRefP22_5x_0" localSheetId="68">'Div 4'!$P$59:$P$60</definedName>
    <definedName name="OSRRefP22_5x_0" localSheetId="88">'Div 5'!$P$49:$P$50</definedName>
    <definedName name="OSRRefP22_5x_0" localSheetId="61">'Div 6'!$P$63</definedName>
    <definedName name="OSRRefP22_5x_0" localSheetId="2">Summary!$P$96:$P$97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'204'!$P$54:$P$55</definedName>
    <definedName name="OSRRefP22_6x_0" localSheetId="45">'205'!$P$51:$P$53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5">'307'!$P$64</definedName>
    <definedName name="OSRRefP22_6x_0" localSheetId="51">'308'!$P$65:$P$66</definedName>
    <definedName name="OSRRefP22_6x_0" localSheetId="64">'309'!$P$40</definedName>
    <definedName name="OSRRefP22_6x_0" localSheetId="63">'310'!$P$60</definedName>
    <definedName name="OSRRefP22_6x_0" localSheetId="69">'310 &amp; 491'!$P$60</definedName>
    <definedName name="OSRRefP22_6x_0" localSheetId="52">'311'!$P$65:$P$66</definedName>
    <definedName name="OSRRefP22_6x_0" localSheetId="57">'315'!$P$73</definedName>
    <definedName name="OSRRefP22_6x_0" localSheetId="60">'316'!$P$57</definedName>
    <definedName name="OSRRefP22_6x_0" localSheetId="62">'317'!$P$65</definedName>
    <definedName name="OSRRefP22_6x_0" localSheetId="65">'321'!$P$54</definedName>
    <definedName name="OSRRefP22_6x_0" localSheetId="66">'325'!$P$55</definedName>
    <definedName name="OSRRefP22_6x_0" localSheetId="58">'326'!$P$57:$P$58</definedName>
    <definedName name="OSRRefP22_6x_0" localSheetId="56">'331'!$P$73</definedName>
    <definedName name="OSRRefP22_6x_0" localSheetId="59">'332'!$P$57</definedName>
    <definedName name="OSRRefP22_6x_0" localSheetId="54">'333'!$P$76</definedName>
    <definedName name="OSRRefP22_6x_0" localSheetId="71">'405'!$P$57</definedName>
    <definedName name="OSRRefP22_6x_0" localSheetId="73">'411'!$P$50</definedName>
    <definedName name="OSRRefP22_6x_0" localSheetId="77">'415'!$P$58</definedName>
    <definedName name="OSRRefP22_6x_0" localSheetId="78">'418'!$P$54</definedName>
    <definedName name="OSRRefP22_6x_0" localSheetId="83">'430'!$P$51:$P$52</definedName>
    <definedName name="OSRRefP22_6x_0" localSheetId="84">'433'!$P$57</definedName>
    <definedName name="OSRRefP22_6x_0" localSheetId="86">'444'!$P$57</definedName>
    <definedName name="OSRRefP22_6x_0" localSheetId="87">'450'!$P$57</definedName>
    <definedName name="OSRRefP22_6x_0" localSheetId="70">'491'!$P$59</definedName>
    <definedName name="OSRRefP22_6x_0" localSheetId="82">'492'!$P$59</definedName>
    <definedName name="OSRRefP22_6x_0" localSheetId="89">'501'!$P$52</definedName>
    <definedName name="OSRRefP22_6x_0" localSheetId="39">'Div 2'!$P$52</definedName>
    <definedName name="OSRRefP22_6x_0" localSheetId="47">'Div 3'!$P$91:$P$92</definedName>
    <definedName name="OSRRefP22_6x_0" localSheetId="68">'Div 4'!$P$62</definedName>
    <definedName name="OSRRefP22_6x_0" localSheetId="88">'Div 5'!$P$52</definedName>
    <definedName name="OSRRefP22_6x_0" localSheetId="61">'Div 6'!$P$65</definedName>
    <definedName name="OSRRefP22_6x_0" localSheetId="2">Summary!$P$99:$P$100</definedName>
    <definedName name="OSRRefP22_7x_0" localSheetId="41">'201'!$P$51</definedName>
    <definedName name="OSRRefP22_7x_0" localSheetId="42">'202'!$P$51:$P$53</definedName>
    <definedName name="OSRRefP22_7x_0" localSheetId="43">'203'!$P$52</definedName>
    <definedName name="OSRRefP22_7x_0" localSheetId="44">'204'!$P$57</definedName>
    <definedName name="OSRRefP22_7x_0" localSheetId="45">'205'!$P$55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5">'307'!$P$66</definedName>
    <definedName name="OSRRefP22_7x_0" localSheetId="51">'308'!$P$68</definedName>
    <definedName name="OSRRefP22_7x_0" localSheetId="64">'309'!$P$42</definedName>
    <definedName name="OSRRefP22_7x_0" localSheetId="63">'310'!$P$62</definedName>
    <definedName name="OSRRefP22_7x_0" localSheetId="69">'310 &amp; 491'!$P$62</definedName>
    <definedName name="OSRRefP22_7x_0" localSheetId="52">'311'!$P$68</definedName>
    <definedName name="OSRRefP22_7x_0" localSheetId="57">'315'!$P$75</definedName>
    <definedName name="OSRRefP22_7x_0" localSheetId="60">'316'!$P$59:$P$61</definedName>
    <definedName name="OSRRefP22_7x_0" localSheetId="62">'317'!$P$67</definedName>
    <definedName name="OSRRefP22_7x_0" localSheetId="65">'321'!$P$56:$P$57</definedName>
    <definedName name="OSRRefP22_7x_0" localSheetId="66">'325'!$P$57</definedName>
    <definedName name="OSRRefP22_7x_0" localSheetId="58">'326'!$P$60</definedName>
    <definedName name="OSRRefP22_7x_0" localSheetId="56">'331'!$P$75</definedName>
    <definedName name="OSRRefP22_7x_0" localSheetId="59">'332'!$P$59:$P$61</definedName>
    <definedName name="OSRRefP22_7x_0" localSheetId="54">'333'!$P$78</definedName>
    <definedName name="OSRRefP22_7x_0" localSheetId="71">'405'!$P$59</definedName>
    <definedName name="OSRRefP22_7x_0" localSheetId="73">'411'!$P$52</definedName>
    <definedName name="OSRRefP22_7x_0" localSheetId="77">'415'!$P$60</definedName>
    <definedName name="OSRRefP22_7x_0" localSheetId="78">'418'!$P$56:$P$57</definedName>
    <definedName name="OSRRefP22_7x_0" localSheetId="83">'430'!$P$54</definedName>
    <definedName name="OSRRefP22_7x_0" localSheetId="84">'433'!$P$59</definedName>
    <definedName name="OSRRefP22_7x_0" localSheetId="86">'444'!$P$59</definedName>
    <definedName name="OSRRefP22_7x_0" localSheetId="87">'450'!$P$59</definedName>
    <definedName name="OSRRefP22_7x_0" localSheetId="70">'491'!$P$61</definedName>
    <definedName name="OSRRefP22_7x_0" localSheetId="82">'492'!$P$61</definedName>
    <definedName name="OSRRefP22_7x_0" localSheetId="89">'501'!$P$54</definedName>
    <definedName name="OSRRefP22_7x_0" localSheetId="39">'Div 2'!$P$54</definedName>
    <definedName name="OSRRefP22_7x_0" localSheetId="47">'Div 3'!$P$94</definedName>
    <definedName name="OSRRefP22_7x_0" localSheetId="68">'Div 4'!$P$64</definedName>
    <definedName name="OSRRefP22_7x_0" localSheetId="88">'Div 5'!$P$54</definedName>
    <definedName name="OSRRefP22_7x_0" localSheetId="61">'Div 6'!$P$67</definedName>
    <definedName name="OSRRefP22_7x_0" localSheetId="2">Summary!$P$102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4">'204'!$P$59:$P$60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5">'307'!$P$68</definedName>
    <definedName name="OSRRefP22_8x_0" localSheetId="51">'308'!$P$70</definedName>
    <definedName name="OSRRefP22_8x_0" localSheetId="64">'309'!$P$44:$P$45</definedName>
    <definedName name="OSRRefP22_8x_0" localSheetId="63">'310'!$P$64</definedName>
    <definedName name="OSRRefP22_8x_0" localSheetId="69">'310 &amp; 491'!$P$64:$P$65</definedName>
    <definedName name="OSRRefP22_8x_0" localSheetId="52">'311'!$P$70</definedName>
    <definedName name="OSRRefP22_8x_0" localSheetId="57">'315'!$P$77:$P$78</definedName>
    <definedName name="OSRRefP22_8x_0" localSheetId="60">'316'!$P$63</definedName>
    <definedName name="OSRRefP22_8x_0" localSheetId="62">'317'!$P$69</definedName>
    <definedName name="OSRRefP22_8x_0" localSheetId="65">'321'!$P$59:$P$60</definedName>
    <definedName name="OSRRefP22_8x_0" localSheetId="66">'325'!$P$59</definedName>
    <definedName name="OSRRefP22_8x_0" localSheetId="58">'326'!$P$62</definedName>
    <definedName name="OSRRefP22_8x_0" localSheetId="56">'331'!$P$77:$P$78</definedName>
    <definedName name="OSRRefP22_8x_0" localSheetId="59">'332'!$P$63</definedName>
    <definedName name="OSRRefP22_8x_0" localSheetId="54">'333'!$P$80:$P$81</definedName>
    <definedName name="OSRRefP22_8x_0" localSheetId="71">'405'!$P$61</definedName>
    <definedName name="OSRRefP22_8x_0" localSheetId="73">'411'!$P$54</definedName>
    <definedName name="OSRRefP22_8x_0" localSheetId="77">'415'!$P$62</definedName>
    <definedName name="OSRRefP22_8x_0" localSheetId="78">'418'!$P$59:$P$60</definedName>
    <definedName name="OSRRefP22_8x_0" localSheetId="83">'430'!$P$56</definedName>
    <definedName name="OSRRefP22_8x_0" localSheetId="84">'433'!$P$61</definedName>
    <definedName name="OSRRefP22_8x_0" localSheetId="86">'444'!$P$61</definedName>
    <definedName name="OSRRefP22_8x_0" localSheetId="87">'450'!$P$61</definedName>
    <definedName name="OSRRefP22_8x_0" localSheetId="70">'491'!$P$63:$P$64</definedName>
    <definedName name="OSRRefP22_8x_0" localSheetId="82">'492'!$P$63</definedName>
    <definedName name="OSRRefP22_8x_0" localSheetId="89">'501'!$P$56</definedName>
    <definedName name="OSRRefP22_8x_0" localSheetId="39">'Div 2'!$P$56</definedName>
    <definedName name="OSRRefP22_8x_0" localSheetId="47">'Div 3'!$P$96</definedName>
    <definedName name="OSRRefP22_8x_0" localSheetId="68">'Div 4'!$P$66</definedName>
    <definedName name="OSRRefP22_8x_0" localSheetId="88">'Div 5'!$P$56</definedName>
    <definedName name="OSRRefP22_8x_0" localSheetId="61">'Div 6'!$P$69</definedName>
    <definedName name="OSRRefP22_8x_0" localSheetId="2">Summary!$P$104</definedName>
    <definedName name="OSRRefP22_9x_0" localSheetId="41">'201'!$P$55:$P$57</definedName>
    <definedName name="OSRRefP22_9x_0" localSheetId="42">'202'!$P$57:$P$58</definedName>
    <definedName name="OSRRefP22_9x_0" localSheetId="43">'203'!$P$58:$P$59</definedName>
    <definedName name="OSRRefP22_9x_0" localSheetId="44">'204'!$P$62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5">'307'!$P$70:$P$71</definedName>
    <definedName name="OSRRefP22_9x_0" localSheetId="51">'308'!$P$72:$P$74</definedName>
    <definedName name="OSRRefP22_9x_0" localSheetId="64">'309'!$P$47:$P$48</definedName>
    <definedName name="OSRRefP22_9x_0" localSheetId="63">'310'!$P$66</definedName>
    <definedName name="OSRRefP22_9x_0" localSheetId="69">'310 &amp; 491'!$P$67</definedName>
    <definedName name="OSRRefP22_9x_0" localSheetId="52">'311'!$P$72:$P$74</definedName>
    <definedName name="OSRRefP22_9x_0" localSheetId="57">'315'!$P$80</definedName>
    <definedName name="OSRRefP22_9x_0" localSheetId="60">'316'!$P$65</definedName>
    <definedName name="OSRRefP22_9x_0" localSheetId="62">'317'!$P$71:$P$72</definedName>
    <definedName name="OSRRefP22_9x_0" localSheetId="65">'321'!$P$62:$P$64</definedName>
    <definedName name="OSRRefP22_9x_0" localSheetId="66">'325'!$P$61</definedName>
    <definedName name="OSRRefP22_9x_0" localSheetId="58">'326'!$P$64</definedName>
    <definedName name="OSRRefP22_9x_0" localSheetId="56">'331'!$P$80:$P$81</definedName>
    <definedName name="OSRRefP22_9x_0" localSheetId="59">'332'!$P$65</definedName>
    <definedName name="OSRRefP22_9x_0" localSheetId="54">'333'!$P$83:$P$84</definedName>
    <definedName name="OSRRefP22_9x_0" localSheetId="71">'405'!$P$63:$P$64</definedName>
    <definedName name="OSRRefP22_9x_0" localSheetId="73">'411'!$P$56:$P$59</definedName>
    <definedName name="OSRRefP22_9x_0" localSheetId="77">'415'!$P$64</definedName>
    <definedName name="OSRRefP22_9x_0" localSheetId="78">'418'!$P$62:$P$65</definedName>
    <definedName name="OSRRefP22_9x_0" localSheetId="84">'433'!$P$63</definedName>
    <definedName name="OSRRefP22_9x_0" localSheetId="86">'444'!$P$63</definedName>
    <definedName name="OSRRefP22_9x_0" localSheetId="87">'450'!$P$63</definedName>
    <definedName name="OSRRefP22_9x_0" localSheetId="70">'491'!$P$66</definedName>
    <definedName name="OSRRefP22_9x_0" localSheetId="82">'492'!$P$65</definedName>
    <definedName name="OSRRefP22_9x_0" localSheetId="89">'501'!$P$58:$P$60</definedName>
    <definedName name="OSRRefP22_9x_0" localSheetId="39">'Div 2'!$P$58</definedName>
    <definedName name="OSRRefP22_9x_0" localSheetId="47">'Div 3'!$P$98</definedName>
    <definedName name="OSRRefP22_9x_0" localSheetId="68">'Div 4'!$P$68:$P$69</definedName>
    <definedName name="OSRRefP22_9x_0" localSheetId="88">'Div 5'!$P$58:$P$60</definedName>
    <definedName name="OSRRefP22_9x_0" localSheetId="61">'Div 6'!$P$71:$P$72</definedName>
    <definedName name="OSRRefP22_9x_0" localSheetId="2">Summary!$P$106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'201'!$P$20:$P$28,'201'!$P$30:$P$39,'201'!$P$41,'201'!$P$43,'201'!$P$45,'201'!$P$47,'201'!$P$49,'201'!$P$51,'201'!$P$53,'201'!$P$55:$P$57,'201'!$P$59:$P$60,'201'!$P$62,'201'!$P$64:$P$65,'201'!$P$67,'201'!$P$69,'201'!$P$71</definedName>
    <definedName name="OSRRefP22x_0" localSheetId="42">'202'!$P$20:$P$28,'202'!$P$30:$P$39,'202'!$P$41,'202'!$P$43,'202'!$P$45,'202'!$P$47,'202'!$P$49,'202'!$P$51:$P$53,'202'!$P$55,'202'!$P$57:$P$58,'202'!$P$60,'202'!$P$62,'202'!$P$64</definedName>
    <definedName name="OSRRefP22x_0" localSheetId="43">'203'!$P$20:$P$29,'203'!$P$31:$P$40,'203'!$P$42,'203'!$P$44,'203'!$P$46,'203'!$P$48,'203'!$P$50,'203'!$P$52,'203'!$P$54:$P$56,'203'!$P$58:$P$59,'203'!$P$61:$P$62,'203'!$P$64:$P$67,'203'!$P$69,'203'!$P$71,'203'!$P$73</definedName>
    <definedName name="OSRRefP22x_0" localSheetId="44">'204'!$P$20:$P$29,'204'!$P$31:$P$40,'204'!$P$42,'204'!$P$44:$P$45,'204'!$P$47,'204'!$P$49:$P$52,'204'!$P$54:$P$55,'204'!$P$57,'204'!$P$59:$P$60,'204'!$P$62,'204'!$P$64</definedName>
    <definedName name="OSRRefP22x_0" localSheetId="45">'205'!$P$20:$P$28,'205'!$P$30:$P$39,'205'!$P$41,'205'!$P$43,'205'!$P$45:$P$47,'205'!$P$49,'205'!$P$51:$P$53,'205'!$P$55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$94,'301'!$P$96</definedName>
    <definedName name="OSRRefP22x_0" localSheetId="55">'307'!$P$34:$P$42,'307'!$P$44:$P$53,'307'!$P$55,'307'!$P$57,'307'!$P$59,'307'!$P$61:$P$62,'307'!$P$64,'307'!$P$66,'307'!$P$68,'307'!$P$70:$P$71,'307'!$P$73:$P$74,'307'!$P$76,'307'!$P$78:$P$81,'307'!$P$83</definedName>
    <definedName name="OSRRefP22x_0" localSheetId="51">'308'!$P$35:$P$44,'308'!$P$46:$P$55,'308'!$P$57,'308'!$P$59,'308'!$P$61,'308'!$P$63,'308'!$P$65:$P$66,'308'!$P$68,'308'!$P$70,'308'!$P$72:$P$74,'308'!$P$76:$P$77,'308'!$P$79:$P$80,'308'!$P$82:$P$83,'308'!$P$85</definedName>
    <definedName name="OSRRefP22x_0" localSheetId="64">'309'!$P$26:$P$27,'309'!$P$29:$P$30,'309'!$P$32,'309'!$P$34,'309'!$P$36,'309'!$P$38,'309'!$P$40,'309'!$P$42,'309'!$P$44:$P$45,'309'!$P$47:$P$48,'309'!$P$50:$P$51,'309'!$P$53,'309'!$P$55</definedName>
    <definedName name="OSRRefP22x_0" localSheetId="63">'310'!$P$29:$P$38,'310'!$P$40:$P$49,'310'!$P$51,'310'!$P$53,'310'!$P$55,'310'!$P$57:$P$58,'310'!$P$60,'310'!$P$62,'310'!$P$64,'310'!$P$66,'310'!$P$68,'310'!$P$70:$P$72,'310'!$P$74:$P$75,'310'!$P$77:$P$79,'310'!$P$81:$P$86,'310'!$P$88:$P$89,'310'!$P$91,'310'!$P$93</definedName>
    <definedName name="OSRRefP22x_0" localSheetId="69">'310 &amp; 491'!$P$29:$P$38,'310 &amp; 491'!$P$40:$P$49,'310 &amp; 491'!$P$51,'310 &amp; 491'!$P$53,'310 &amp; 491'!$P$55,'310 &amp; 491'!$P$57:$P$58,'310 &amp; 491'!$P$60,'310 &amp; 491'!$P$62,'310 &amp; 491'!$P$64:$P$65,'310 &amp; 491'!$P$67,'310 &amp; 491'!$P$69,'310 &amp; 491'!$P$71,'310 &amp; 491'!$P$73,'310 &amp; 491'!$P$75:$P$78,'310 &amp; 491'!$P$80:$P$81,'310 &amp; 491'!$P$83:$P$87,'310 &amp; 491'!$P$89,'310 &amp; 491'!$P$91:$P$100,'310 &amp; 491'!$P$102:$P$103,'310 &amp; 491'!$P$105,'310 &amp; 491'!$P$107:$P$108,'310 &amp; 491'!$P$110</definedName>
    <definedName name="OSRRefP22x_0" localSheetId="52">'311'!$P$35:$P$44,'311'!$P$46:$P$55,'311'!$P$57,'311'!$P$59,'311'!$P$61,'311'!$P$63,'311'!$P$65:$P$66,'311'!$P$68,'311'!$P$70,'311'!$P$72:$P$74,'311'!$P$76:$P$77,'311'!$P$79:$P$80,'311'!$P$82:$P$83,'311'!$P$85</definedName>
    <definedName name="OSRRefP22x_0" localSheetId="57">'315'!$P$44:$P$52,'315'!$P$54:$P$63,'315'!$P$65,'315'!$P$67,'315'!$P$69,'315'!$P$71,'315'!$P$73,'315'!$P$75,'315'!$P$77:$P$78,'315'!$P$80,'315'!$P$82,'315'!$P$84,'315'!$P$86:$P$87,'315'!$P$89:$P$91,'315'!$P$93:$P$94,'315'!$P$96:$P$99,'315'!$P$101,'315'!$P$103,'315'!$P$105</definedName>
    <definedName name="OSRRefP22x_0" localSheetId="60">'316'!$P$27:$P$35,'316'!$P$37:$P$46,'316'!$P$48,'316'!$P$50,'316'!$P$52,'316'!$P$54:$P$55,'316'!$P$57,'316'!$P$59:$P$61,'316'!$P$63,'316'!$P$65,'316'!$P$67:$P$71,'316'!$P$73</definedName>
    <definedName name="OSRRefP22x_0" localSheetId="62">'317'!$P$35:$P$44,'317'!$P$46:$P$55,'317'!$P$57,'317'!$P$59,'317'!$P$61,'317'!$P$63,'317'!$P$65,'317'!$P$67,'317'!$P$69,'317'!$P$71:$P$72,'317'!$P$74</definedName>
    <definedName name="OSRRefP22x_0" localSheetId="65">'321'!$P$24:$P$33,'321'!$P$35:$P$44,'321'!$P$46,'321'!$P$48,'321'!$P$50,'321'!$P$52,'321'!$P$54,'321'!$P$56:$P$57,'321'!$P$59:$P$60,'321'!$P$62:$P$64,'321'!$P$66:$P$69,'321'!$P$71,'321'!$P$73</definedName>
    <definedName name="OSRRefP22x_0" localSheetId="66">'325'!$P$25:$P$33,'325'!$P$35:$P$44,'325'!$P$46,'325'!$P$48,'325'!$P$50,'325'!$P$52:$P$53,'325'!$P$55,'325'!$P$57,'325'!$P$59,'325'!$P$61,'325'!$P$63,'325'!$P$65:$P$67,'325'!$P$69:$P$71,'325'!$P$73:$P$78,'325'!$P$80:$P$81,'325'!$P$83,'325'!$P$85</definedName>
    <definedName name="OSRRefP22x_0" localSheetId="58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7">'327'!$P$26,'327'!$P$28</definedName>
    <definedName name="OSRRefP22x_0" localSheetId="56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,'331'!$P$114:$P$115,'331'!$P$117</definedName>
    <definedName name="OSRRefP22x_0" localSheetId="59">'332'!$P$27:$P$35,'332'!$P$37:$P$46,'332'!$P$48,'332'!$P$50,'332'!$P$52,'332'!$P$54:$P$55,'332'!$P$57,'332'!$P$59:$P$61,'332'!$P$63,'332'!$P$65,'332'!$P$67:$P$71,'332'!$P$73</definedName>
    <definedName name="OSRRefP22x_0" localSheetId="54">'333'!$P$46:$P$54,'333'!$P$56:$P$65,'333'!$P$67,'333'!$P$69,'333'!$P$71,'333'!$P$73:$P$74,'333'!$P$76,'333'!$P$78,'333'!$P$80:$P$81,'333'!$P$83:$P$84,'333'!$P$86,'333'!$P$88,'333'!$P$90,'333'!$P$92,'333'!$P$94:$P$95,'333'!$P$97:$P$99,'333'!$P$101:$P$103,'333'!$P$105:$P$106,'333'!$P$108:$P$113,'333'!$P$115,'333'!$P$117,'333'!$P$119:$P$120,'333'!$P$122</definedName>
    <definedName name="OSRRefP22x_0" localSheetId="71">'405'!$P$27:$P$35,'405'!$P$37:$P$46,'405'!$P$48,'405'!$P$50,'405'!$P$52,'405'!$P$54:$P$55,'405'!$P$57,'405'!$P$59,'405'!$P$61,'405'!$P$63:$P$64,'405'!$P$66:$P$69,'405'!$P$71,'405'!$P$73:$P$81,'405'!$P$83,'405'!$P$85,'405'!$P$87,'405'!$P$89</definedName>
    <definedName name="OSRRefP22x_0" localSheetId="72">'406'!$P$20,'406'!$P$22</definedName>
    <definedName name="OSRRefP22x_0" localSheetId="73">'411'!$P$20:$P$28,'411'!$P$30:$P$39,'411'!$P$41,'411'!$P$43:$P$44,'411'!$P$46,'411'!$P$48,'411'!$P$50,'411'!$P$52,'411'!$P$54,'411'!$P$56:$P$59,'411'!$P$61:$P$63,'411'!$P$65,'411'!$P$67:$P$68,'411'!$P$70,'411'!$P$72,'411'!$P$74:$P$75,'411'!$P$77</definedName>
    <definedName name="OSRRefP22x_0" localSheetId="74">'412'!$P$20,'412'!$P$22,'412'!$P$24,'412'!$P$26,'412'!$P$28</definedName>
    <definedName name="OSRRefP22x_0" localSheetId="75">'413'!$P$20,'413'!$P$22,'413'!$P$24</definedName>
    <definedName name="OSRRefP22x_0" localSheetId="76">'414'!$P$20,'414'!$P$22,'414'!$P$24</definedName>
    <definedName name="OSRRefP22x_0" localSheetId="77">'415'!$P$27:$P$36,'415'!$P$38:$P$47,'415'!$P$49,'415'!$P$51,'415'!$P$53,'415'!$P$55:$P$56,'415'!$P$58,'415'!$P$60,'415'!$P$62,'415'!$P$64,'415'!$P$66,'415'!$P$68:$P$69,'415'!$P$71:$P$74,'415'!$P$76,'415'!$P$78:$P$85,'415'!$P$87:$P$88,'415'!$P$90,'415'!$P$92</definedName>
    <definedName name="OSRRefP22x_0" localSheetId="78">'418'!$P$24:$P$32,'418'!$P$34:$P$43,'418'!$P$45,'418'!$P$47,'418'!$P$49:$P$50,'418'!$P$52,'418'!$P$54,'418'!$P$56:$P$57,'418'!$P$59:$P$60,'418'!$P$62:$P$65,'418'!$P$67,'418'!$P$69:$P$77,'418'!$P$79:$P$80,'418'!$P$82,'418'!$P$84,'418'!$P$86</definedName>
    <definedName name="OSRRefP22x_0" localSheetId="79">'423'!$P$20:$P$27,'423'!$P$29:$P$38,'423'!$P$40,'423'!$P$42,'423'!$P$44,'423'!$P$46</definedName>
    <definedName name="OSRRefP22x_0" localSheetId="80">'424'!$P$20,'424'!$P$22,'424'!$P$24</definedName>
    <definedName name="OSRRefP22x_0" localSheetId="81">'425'!$P$22,'425'!$P$24,'425'!$P$26,'425'!$P$28,'425'!$P$30,'425'!$P$32</definedName>
    <definedName name="OSRRefP22x_0" localSheetId="83">'430'!$P$20:$P$28,'430'!$P$30:$P$39,'430'!$P$41,'430'!$P$43,'430'!$P$45,'430'!$P$47:$P$49,'430'!$P$51:$P$52,'430'!$P$54,'430'!$P$56</definedName>
    <definedName name="OSRRefP22x_0" localSheetId="84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5">'435'!$P$23:$P$24,'435'!$P$26,'435'!$P$28,'435'!$P$30,'435'!$P$32</definedName>
    <definedName name="OSRRefP22x_0" localSheetId="86">'444'!$P$27:$P$36,'444'!$P$38:$P$47,'444'!$P$49,'444'!$P$51,'444'!$P$53,'444'!$P$55,'444'!$P$57,'444'!$P$59,'444'!$P$61,'444'!$P$63,'444'!$P$65,'444'!$P$67:$P$68,'444'!$P$70:$P$73,'444'!$P$75,'444'!$P$77:$P$85,'444'!$P$87,'444'!$P$89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0">'491'!$P$28:$P$37,'491'!$P$39:$P$48,'491'!$P$50,'491'!$P$52,'491'!$P$54,'491'!$P$56:$P$57,'491'!$P$59,'491'!$P$61,'491'!$P$63:$P$64,'491'!$P$66,'491'!$P$68,'491'!$P$70,'491'!$P$72,'491'!$P$74:$P$77,'491'!$P$79,'491'!$P$81:$P$85,'491'!$P$87,'491'!$P$89:$P$98,'491'!$P$100:$P$101,'491'!$P$103,'491'!$P$105:$P$106,'491'!$P$108</definedName>
    <definedName name="OSRRefP22x_0" localSheetId="82">'492'!$P$29:$P$38,'492'!$P$40:$P$49,'492'!$P$51,'492'!$P$53,'492'!$P$55,'492'!$P$57,'492'!$P$59,'492'!$P$61,'492'!$P$63,'492'!$P$65,'492'!$P$67,'492'!$P$69,'492'!$P$71:$P$73,'492'!$P$75:$P$78,'492'!$P$80,'492'!$P$82:$P$90,'492'!$P$92:$P$93,'492'!$P$95,'492'!$P$97:$P$98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47">'Div 3'!$P$60:$P$69,'Div 3'!$P$71:$P$80,'Div 3'!$P$82,'Div 3'!$P$84,'Div 3'!$P$86,'Div 3'!$P$88:$P$89,'Div 3'!$P$91:$P$92,'Div 3'!$P$94,'Div 3'!$P$96,'Div 3'!$P$98,'Div 3'!$P$100:$P$101,'Div 3'!$P$103:$P$104,'Div 3'!$P$106,'Div 3'!$P$108,'Div 3'!$P$110,'Div 3'!$P$112,'Div 3'!$P$114,'Div 3'!$P$116:$P$119,'Div 3'!$P$121:$P$124,'Div 3'!$P$126:$P$129,'Div 3'!$P$131:$P$132,'Div 3'!$P$134:$P$140,'Div 3'!$P$142:$P$143,'Div 3'!$P$145,'Div 3'!$P$147:$P$149,'Div 3'!$P$151</definedName>
    <definedName name="OSRRefP22x_0" localSheetId="68">'Div 4'!$P$31:$P$40,'Div 4'!$P$42:$P$51,'Div 4'!$P$53,'Div 4'!$P$55,'Div 4'!$P$57,'Div 4'!$P$59:$P$60,'Div 4'!$P$62,'Div 4'!$P$64,'Div 4'!$P$66,'Div 4'!$P$68:$P$69,'Div 4'!$P$71,'Div 4'!$P$73,'Div 4'!$P$75,'Div 4'!$P$77,'Div 4'!$P$79,'Div 4'!$P$81:$P$84,'Div 4'!$P$86,'Div 4'!$P$88:$P$92,'Div 4'!$P$94:$P$95,'Div 4'!$P$97:$P$106,'Div 4'!$P$108:$P$109,'Div 4'!$P$111,'Div 4'!$P$113:$P$114,'Div 4'!$P$116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6'!$P$69,'Div 6'!$P$71:$P$72,'Div 6'!$P$74</definedName>
    <definedName name="OSRRefP22x_0" localSheetId="2">Summary!$P$68:$P$77,Summary!$P$79:$P$88,Summary!$P$90,Summary!$P$92,Summary!$P$94,Summary!$P$96:$P$97,Summary!$P$99:$P$100,Summary!$P$102,Summary!$P$104,Summary!$P$106,Summary!$P$108:$P$109,Summary!$P$111:$P$113,Summary!$P$115,Summary!$P$117,Summary!$P$119,Summary!$P$121,Summary!$P$123,Summary!$P$125,Summary!$P$127:$P$130,Summary!$P$132:$P$135,Summary!$P$137:$P$141,Summary!$P$143:$P$144,Summary!$P$146:$P$155,Summary!$P$157:$P$158,Summary!$P$160,Summary!$P$162:$P$164,Summary!$P$166</definedName>
    <definedName name="OSRRefP25x_0" localSheetId="48">'300'!$P$145:$P$149</definedName>
    <definedName name="OSRRefP25x_0" localSheetId="49">'300 &amp; 317'!$P$151:$P$157</definedName>
    <definedName name="OSRRefP25x_0" localSheetId="50">'301'!$P$99:$P$100</definedName>
    <definedName name="OSRRefP25x_0" localSheetId="51">'308'!$P$88:$P$91</definedName>
    <definedName name="OSRRefP25x_0" localSheetId="69">'310 &amp; 491'!$P$113:$P$116</definedName>
    <definedName name="OSRRefP25x_0" localSheetId="52">'311'!$P$88:$P$91</definedName>
    <definedName name="OSRRefP25x_0" localSheetId="57">'315'!$P$108:$P$111</definedName>
    <definedName name="OSRRefP25x_0" localSheetId="60">'316'!$P$76</definedName>
    <definedName name="OSRRefP25x_0" localSheetId="62">'317'!$P$77:$P$79</definedName>
    <definedName name="OSRRefP25x_0" localSheetId="56">'331'!$P$120:$P$123</definedName>
    <definedName name="OSRRefP25x_0" localSheetId="59">'332'!$P$76</definedName>
    <definedName name="OSRRefP25x_0" localSheetId="54">'333'!$P$125:$P$128</definedName>
    <definedName name="OSRRefP25x_0" localSheetId="71">'405'!$P$92</definedName>
    <definedName name="OSRRefP25x_0" localSheetId="73">'411'!$P$80</definedName>
    <definedName name="OSRRefP25x_0" localSheetId="77">'415'!$P$95</definedName>
    <definedName name="OSRRefP25x_0" localSheetId="78">'418'!$P$89</definedName>
    <definedName name="OSRRefP25x_0" localSheetId="79">'423'!$P$49:$P$51</definedName>
    <definedName name="OSRRefP25x_0" localSheetId="70">'491'!$P$111:$P$114</definedName>
    <definedName name="OSRRefP25x_0" localSheetId="89">'501'!$P$73</definedName>
    <definedName name="OSRRefP25x_0" localSheetId="47">'Div 3'!$P$154:$P$158</definedName>
    <definedName name="OSRRefP25x_0" localSheetId="68">'Div 4'!$P$119:$P$122</definedName>
    <definedName name="OSRRefP25x_0" localSheetId="88">'Div 5'!$P$73</definedName>
    <definedName name="OSRRefP25x_0" localSheetId="61">'Div 6'!$P$77:$P$79</definedName>
    <definedName name="OSRRefP25x_0" localSheetId="2">Summary!$P$169:$P$176</definedName>
    <definedName name="OSRRefT13x_0" localSheetId="48">'300'!$T$13:$T$19</definedName>
    <definedName name="OSRRefT13x_0" localSheetId="49">'300 &amp; 317'!$T$13:$T$19</definedName>
    <definedName name="OSRRefT13x_0" localSheetId="55">'307'!$T$13:$T$16</definedName>
    <definedName name="OSRRefT13x_0" localSheetId="51">'308'!$T$13:$T$17</definedName>
    <definedName name="OSRRefT13x_0" localSheetId="64">'309'!$T$13:$T$16</definedName>
    <definedName name="OSRRefT13x_0" localSheetId="63">'310'!$T$13:$T$18</definedName>
    <definedName name="OSRRefT13x_0" localSheetId="69">'310 &amp; 491'!$T$13:$T$18</definedName>
    <definedName name="OSRRefT13x_0" localSheetId="52">'311'!$T$13:$T$17</definedName>
    <definedName name="OSRRefT13x_0" localSheetId="57">'315'!$T$13:$T$17</definedName>
    <definedName name="OSRRefT13x_0" localSheetId="60">'316'!$T$13:$T$17</definedName>
    <definedName name="OSRRefT13x_0" localSheetId="62">'317'!$T$13:$T$17</definedName>
    <definedName name="OSRRefT13x_0" localSheetId="65">'321'!$T$13:$T$14</definedName>
    <definedName name="OSRRefT13x_0" localSheetId="53">'324'!$T$13:$T$14</definedName>
    <definedName name="OSRRefT13x_0" localSheetId="66">'325'!$T$13:$T$14</definedName>
    <definedName name="OSRRefT13x_0" localSheetId="58">'326'!$T$13:$T$16</definedName>
    <definedName name="OSRRefT13x_0" localSheetId="67">'327'!$T$13:$T$15</definedName>
    <definedName name="OSRRefT13x_0" localSheetId="56">'331'!$T$13:$T$17</definedName>
    <definedName name="OSRRefT13x_0" localSheetId="59">'332'!$T$13:$T$17</definedName>
    <definedName name="OSRRefT13x_0" localSheetId="54">'333'!$T$13:$T$17</definedName>
    <definedName name="OSRRefT13x_0" localSheetId="71">'405'!$T$13:$T$16</definedName>
    <definedName name="OSRRefT13x_0" localSheetId="77">'415'!$T$13:$T$16</definedName>
    <definedName name="OSRRefT13x_0" localSheetId="78">'418'!$T$13:$T$14</definedName>
    <definedName name="OSRRefT13x_0" localSheetId="81">'425'!$T$13</definedName>
    <definedName name="OSRRefT13x_0" localSheetId="84">'433'!$T$13:$T$16</definedName>
    <definedName name="OSRRefT13x_0" localSheetId="85">'435'!$T$13:$T$14</definedName>
    <definedName name="OSRRefT13x_0" localSheetId="86">'444'!$T$13:$T$16</definedName>
    <definedName name="OSRRefT13x_0" localSheetId="87">'450'!$T$13:$T$16</definedName>
    <definedName name="OSRRefT13x_0" localSheetId="70">'491'!$T$13:$T$17</definedName>
    <definedName name="OSRRefT13x_0" localSheetId="82">'492'!$T$13:$T$18</definedName>
    <definedName name="OSRRefT13x_0" localSheetId="89">'501'!$T$13</definedName>
    <definedName name="OSRRefT13x_0" localSheetId="47">'Div 3'!$T$13:$T$23</definedName>
    <definedName name="OSRRefT13x_0" localSheetId="68">'Div 4'!$T$13:$T$20</definedName>
    <definedName name="OSRRefT13x_0" localSheetId="88">'Div 5'!$T$13</definedName>
    <definedName name="OSRRefT13x_0" localSheetId="61">'Div 6'!$T$13:$T$17</definedName>
    <definedName name="OSRRefT13x_0" localSheetId="2">Summary!$T$13:$T$25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5">'307'!$T$19:$T$28</definedName>
    <definedName name="OSRRefT16x_0" localSheetId="51">'308'!$T$20:$T$29</definedName>
    <definedName name="OSRRefT16x_0" localSheetId="64">'309'!$T$19:$T$20</definedName>
    <definedName name="OSRRefT16x_0" localSheetId="63">'310'!$T$21:$T$23</definedName>
    <definedName name="OSRRefT16x_0" localSheetId="69">'310 &amp; 491'!$T$21:$T$23</definedName>
    <definedName name="OSRRefT16x_0" localSheetId="52">'311'!$T$20:$T$29</definedName>
    <definedName name="OSRRefT16x_0" localSheetId="57">'315'!$T$20:$T$38</definedName>
    <definedName name="OSRRefT16x_0" localSheetId="60">'316'!$T$20:$T$21</definedName>
    <definedName name="OSRRefT16x_0" localSheetId="62">'317'!$T$20:$T$29</definedName>
    <definedName name="OSRRefT16x_0" localSheetId="65">'321'!$T$17:$T$18</definedName>
    <definedName name="OSRRefT16x_0" localSheetId="53">'324'!$T$17</definedName>
    <definedName name="OSRRefT16x_0" localSheetId="66">'325'!$T$17:$T$19</definedName>
    <definedName name="OSRRefT16x_0" localSheetId="58">'326'!$T$19:$T$22</definedName>
    <definedName name="OSRRefT16x_0" localSheetId="67">'327'!$T$18:$T$20</definedName>
    <definedName name="OSRRefT16x_0" localSheetId="56">'331'!$T$20:$T$38</definedName>
    <definedName name="OSRRefT16x_0" localSheetId="59">'332'!$T$20:$T$21</definedName>
    <definedName name="OSRRefT16x_0" localSheetId="54">'333'!$T$20:$T$40</definedName>
    <definedName name="OSRRefT16x_0" localSheetId="71">'405'!$T$19:$T$21</definedName>
    <definedName name="OSRRefT16x_0" localSheetId="77">'415'!$T$19:$T$21</definedName>
    <definedName name="OSRRefT16x_0" localSheetId="78">'418'!$T$17:$T$18</definedName>
    <definedName name="OSRRefT16x_0" localSheetId="81">'425'!$T$16</definedName>
    <definedName name="OSRRefT16x_0" localSheetId="84">'433'!$T$19:$T$21</definedName>
    <definedName name="OSRRefT16x_0" localSheetId="85">'435'!$T$17</definedName>
    <definedName name="OSRRefT16x_0" localSheetId="86">'444'!$T$19:$T$21</definedName>
    <definedName name="OSRRefT16x_0" localSheetId="87">'450'!$T$19:$T$21</definedName>
    <definedName name="OSRRefT16x_0" localSheetId="70">'491'!$T$20:$T$22</definedName>
    <definedName name="OSRRefT16x_0" localSheetId="82">'492'!$T$21:$T$23</definedName>
    <definedName name="OSRRefT16x_0" localSheetId="47">'Div 3'!$T$26:$T$54</definedName>
    <definedName name="OSRRefT16x_0" localSheetId="68">'Div 4'!$T$23:$T$25</definedName>
    <definedName name="OSRRefT16x_0" localSheetId="61">'Div 6'!$T$20:$T$29</definedName>
    <definedName name="OSRRefT16x_0" localSheetId="2">Summary!$T$28:$T$62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5">'307'!$T$34:$T$42</definedName>
    <definedName name="OSRRefT22_0x_0" localSheetId="51">'308'!$T$35:$T$44</definedName>
    <definedName name="OSRRefT22_0x_0" localSheetId="64">'309'!$T$26:$T$27</definedName>
    <definedName name="OSRRefT22_0x_0" localSheetId="63">'310'!$T$29:$T$38</definedName>
    <definedName name="OSRRefT22_0x_0" localSheetId="69">'310 &amp; 491'!$T$29:$T$38</definedName>
    <definedName name="OSRRefT22_0x_0" localSheetId="52">'311'!$T$35:$T$44</definedName>
    <definedName name="OSRRefT22_0x_0" localSheetId="57">'315'!$T$44:$T$52</definedName>
    <definedName name="OSRRefT22_0x_0" localSheetId="60">'316'!$T$27:$T$35</definedName>
    <definedName name="OSRRefT22_0x_0" localSheetId="62">'317'!$T$35:$T$44</definedName>
    <definedName name="OSRRefT22_0x_0" localSheetId="65">'321'!$T$24:$T$33</definedName>
    <definedName name="OSRRefT22_0x_0" localSheetId="66">'325'!$T$25:$T$33</definedName>
    <definedName name="OSRRefT22_0x_0" localSheetId="58">'326'!$T$28:$T$36</definedName>
    <definedName name="OSRRefT22_0x_0" localSheetId="67">'327'!$T$26</definedName>
    <definedName name="OSRRefT22_0x_0" localSheetId="56">'331'!$T$44:$T$52</definedName>
    <definedName name="OSRRefT22_0x_0" localSheetId="59">'332'!$T$27:$T$35</definedName>
    <definedName name="OSRRefT22_0x_0" localSheetId="54">'333'!$T$46:$T$54</definedName>
    <definedName name="OSRRefT22_0x_0" localSheetId="71">'405'!$T$27:$T$35</definedName>
    <definedName name="OSRRefT22_0x_0" localSheetId="72">'406'!$T$20</definedName>
    <definedName name="OSRRefT22_0x_0" localSheetId="73">'411'!$T$20:$T$28</definedName>
    <definedName name="OSRRefT22_0x_0" localSheetId="74">'412'!$T$20</definedName>
    <definedName name="OSRRefT22_0x_0" localSheetId="75">'413'!$T$20</definedName>
    <definedName name="OSRRefT22_0x_0" localSheetId="76">'414'!$T$20</definedName>
    <definedName name="OSRRefT22_0x_0" localSheetId="77">'415'!$T$27:$T$36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'425'!$T$22</definedName>
    <definedName name="OSRRefT22_0x_0" localSheetId="83">'430'!$T$20:$T$28</definedName>
    <definedName name="OSRRefT22_0x_0" localSheetId="84">'433'!$T$27:$T$36</definedName>
    <definedName name="OSRRefT22_0x_0" localSheetId="85">'435'!$T$23:$T$24</definedName>
    <definedName name="OSRRefT22_0x_0" localSheetId="86">'444'!$T$27:$T$36</definedName>
    <definedName name="OSRRefT22_0x_0" localSheetId="87">'450'!$T$27:$T$36</definedName>
    <definedName name="OSRRefT22_0x_0" localSheetId="70">'491'!$T$28:$T$37</definedName>
    <definedName name="OSRRefT22_0x_0" localSheetId="82">'492'!$T$29:$T$38</definedName>
    <definedName name="OSRRefT22_0x_0" localSheetId="89">'501'!$T$21:$T$30</definedName>
    <definedName name="OSRRefT22_0x_0" localSheetId="39">'Div 2'!$T$20:$T$30</definedName>
    <definedName name="OSRRefT22_0x_0" localSheetId="47">'Div 3'!$T$60:$T$69</definedName>
    <definedName name="OSRRefT22_0x_0" localSheetId="68">'Div 4'!$T$31:$T$40</definedName>
    <definedName name="OSRRefT22_0x_0" localSheetId="88">'Div 5'!$T$21:$T$30</definedName>
    <definedName name="OSRRefT22_0x_0" localSheetId="61">'Div 6'!$T$35:$T$44</definedName>
    <definedName name="OSRRefT22_0x_0" localSheetId="2">Summary!$T$68:$T$77</definedName>
    <definedName name="OSRRefT22_10x_0" localSheetId="41">'201'!$T$59:$T$60</definedName>
    <definedName name="OSRRefT22_10x_0" localSheetId="42">'202'!$T$60</definedName>
    <definedName name="OSRRefT22_10x_0" localSheetId="43">'203'!$T$61:$T$62</definedName>
    <definedName name="OSRRefT22_10x_0" localSheetId="44">'204'!$T$64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5">'307'!$T$73:$T$74</definedName>
    <definedName name="OSRRefT22_10x_0" localSheetId="51">'308'!$T$76:$T$77</definedName>
    <definedName name="OSRRefT22_10x_0" localSheetId="64">'309'!$T$50:$T$51</definedName>
    <definedName name="OSRRefT22_10x_0" localSheetId="63">'310'!$T$68</definedName>
    <definedName name="OSRRefT22_10x_0" localSheetId="69">'310 &amp; 491'!$T$69</definedName>
    <definedName name="OSRRefT22_10x_0" localSheetId="52">'311'!$T$76:$T$77</definedName>
    <definedName name="OSRRefT22_10x_0" localSheetId="57">'315'!$T$82</definedName>
    <definedName name="OSRRefT22_10x_0" localSheetId="60">'316'!$T$67:$T$71</definedName>
    <definedName name="OSRRefT22_10x_0" localSheetId="62">'317'!$T$74</definedName>
    <definedName name="OSRRefT22_10x_0" localSheetId="65">'321'!$T$66:$T$69</definedName>
    <definedName name="OSRRefT22_10x_0" localSheetId="66">'325'!$T$63</definedName>
    <definedName name="OSRRefT22_10x_0" localSheetId="58">'326'!$T$66</definedName>
    <definedName name="OSRRefT22_10x_0" localSheetId="56">'331'!$T$83</definedName>
    <definedName name="OSRRefT22_10x_0" localSheetId="59">'332'!$T$67:$T$71</definedName>
    <definedName name="OSRRefT22_10x_0" localSheetId="54">'333'!$T$86</definedName>
    <definedName name="OSRRefT22_10x_0" localSheetId="71">'405'!$T$66:$T$69</definedName>
    <definedName name="OSRRefT22_10x_0" localSheetId="73">'411'!$T$61:$T$63</definedName>
    <definedName name="OSRRefT22_10x_0" localSheetId="77">'415'!$T$66</definedName>
    <definedName name="OSRRefT22_10x_0" localSheetId="78">'418'!$T$67</definedName>
    <definedName name="OSRRefT22_10x_0" localSheetId="84">'433'!$T$65</definedName>
    <definedName name="OSRRefT22_10x_0" localSheetId="86">'444'!$T$65</definedName>
    <definedName name="OSRRefT22_10x_0" localSheetId="87">'450'!$T$65</definedName>
    <definedName name="OSRRefT22_10x_0" localSheetId="70">'491'!$T$68</definedName>
    <definedName name="OSRRefT22_10x_0" localSheetId="82">'492'!$T$67</definedName>
    <definedName name="OSRRefT22_10x_0" localSheetId="89">'501'!$T$62</definedName>
    <definedName name="OSRRefT22_10x_0" localSheetId="39">'Div 2'!$T$60</definedName>
    <definedName name="OSRRefT22_10x_0" localSheetId="47">'Div 3'!$T$100:$T$101</definedName>
    <definedName name="OSRRefT22_10x_0" localSheetId="68">'Div 4'!$T$71</definedName>
    <definedName name="OSRRefT22_10x_0" localSheetId="88">'Div 5'!$T$62</definedName>
    <definedName name="OSRRefT22_10x_0" localSheetId="61">'Div 6'!$T$74</definedName>
    <definedName name="OSRRefT22_10x_0" localSheetId="2">Summary!$T$108:$T$109</definedName>
    <definedName name="OSRRefT22_11x_0" localSheetId="41">'201'!$T$62</definedName>
    <definedName name="OSRRefT22_11x_0" localSheetId="42">'202'!$T$62</definedName>
    <definedName name="OSRRefT22_11x_0" localSheetId="43">'203'!$T$64:$T$67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5">'307'!$T$76</definedName>
    <definedName name="OSRRefT22_11x_0" localSheetId="51">'308'!$T$79:$T$80</definedName>
    <definedName name="OSRRefT22_11x_0" localSheetId="64">'309'!$T$53</definedName>
    <definedName name="OSRRefT22_11x_0" localSheetId="63">'310'!$T$70:$T$72</definedName>
    <definedName name="OSRRefT22_11x_0" localSheetId="69">'310 &amp; 491'!$T$71</definedName>
    <definedName name="OSRRefT22_11x_0" localSheetId="52">'311'!$T$79:$T$80</definedName>
    <definedName name="OSRRefT22_11x_0" localSheetId="57">'315'!$T$84</definedName>
    <definedName name="OSRRefT22_11x_0" localSheetId="60">'316'!$T$73</definedName>
    <definedName name="OSRRefT22_11x_0" localSheetId="65">'321'!$T$71</definedName>
    <definedName name="OSRRefT22_11x_0" localSheetId="66">'325'!$T$65:$T$67</definedName>
    <definedName name="OSRRefT22_11x_0" localSheetId="58">'326'!$T$68:$T$69</definedName>
    <definedName name="OSRRefT22_11x_0" localSheetId="56">'331'!$T$85</definedName>
    <definedName name="OSRRefT22_11x_0" localSheetId="59">'332'!$T$73</definedName>
    <definedName name="OSRRefT22_11x_0" localSheetId="54">'333'!$T$88</definedName>
    <definedName name="OSRRefT22_11x_0" localSheetId="71">'405'!$T$71</definedName>
    <definedName name="OSRRefT22_11x_0" localSheetId="73">'411'!$T$65</definedName>
    <definedName name="OSRRefT22_11x_0" localSheetId="77">'415'!$T$68:$T$69</definedName>
    <definedName name="OSRRefT22_11x_0" localSheetId="78">'418'!$T$69:$T$77</definedName>
    <definedName name="OSRRefT22_11x_0" localSheetId="84">'433'!$T$67:$T$69</definedName>
    <definedName name="OSRRefT22_11x_0" localSheetId="86">'444'!$T$67:$T$68</definedName>
    <definedName name="OSRRefT22_11x_0" localSheetId="87">'450'!$T$67:$T$69</definedName>
    <definedName name="OSRRefT22_11x_0" localSheetId="70">'491'!$T$70</definedName>
    <definedName name="OSRRefT22_11x_0" localSheetId="82">'492'!$T$69</definedName>
    <definedName name="OSRRefT22_11x_0" localSheetId="89">'501'!$T$64:$T$66</definedName>
    <definedName name="OSRRefT22_11x_0" localSheetId="39">'Div 2'!$T$62</definedName>
    <definedName name="OSRRefT22_11x_0" localSheetId="47">'Div 3'!$T$103:$T$104</definedName>
    <definedName name="OSRRefT22_11x_0" localSheetId="68">'Div 4'!$T$73</definedName>
    <definedName name="OSRRefT22_11x_0" localSheetId="88">'Div 5'!$T$64:$T$66</definedName>
    <definedName name="OSRRefT22_11x_0" localSheetId="2">Summary!$T$111:$T$113</definedName>
    <definedName name="OSRRefT22_12x_0" localSheetId="41">'201'!$T$64:$T$65</definedName>
    <definedName name="OSRRefT22_12x_0" localSheetId="42">'202'!$T$64</definedName>
    <definedName name="OSRRefT22_12x_0" localSheetId="43">'203'!$T$69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5">'307'!$T$78:$T$81</definedName>
    <definedName name="OSRRefT22_12x_0" localSheetId="51">'308'!$T$82:$T$83</definedName>
    <definedName name="OSRRefT22_12x_0" localSheetId="64">'309'!$T$55</definedName>
    <definedName name="OSRRefT22_12x_0" localSheetId="63">'310'!$T$74:$T$75</definedName>
    <definedName name="OSRRefT22_12x_0" localSheetId="69">'310 &amp; 491'!$T$73</definedName>
    <definedName name="OSRRefT22_12x_0" localSheetId="52">'311'!$T$82:$T$83</definedName>
    <definedName name="OSRRefT22_12x_0" localSheetId="57">'315'!$T$86:$T$87</definedName>
    <definedName name="OSRRefT22_12x_0" localSheetId="65">'321'!$T$73</definedName>
    <definedName name="OSRRefT22_12x_0" localSheetId="66">'325'!$T$69:$T$71</definedName>
    <definedName name="OSRRefT22_12x_0" localSheetId="58">'326'!$T$71:$T$72</definedName>
    <definedName name="OSRRefT22_12x_0" localSheetId="56">'331'!$T$87</definedName>
    <definedName name="OSRRefT22_12x_0" localSheetId="54">'333'!$T$90</definedName>
    <definedName name="OSRRefT22_12x_0" localSheetId="71">'405'!$T$73:$T$81</definedName>
    <definedName name="OSRRefT22_12x_0" localSheetId="73">'411'!$T$67:$T$68</definedName>
    <definedName name="OSRRefT22_12x_0" localSheetId="77">'415'!$T$71:$T$74</definedName>
    <definedName name="OSRRefT22_12x_0" localSheetId="78">'418'!$T$79:$T$80</definedName>
    <definedName name="OSRRefT22_12x_0" localSheetId="84">'433'!$T$71:$T$74</definedName>
    <definedName name="OSRRefT22_12x_0" localSheetId="86">'444'!$T$70:$T$73</definedName>
    <definedName name="OSRRefT22_12x_0" localSheetId="87">'450'!$T$71:$T$74</definedName>
    <definedName name="OSRRefT22_12x_0" localSheetId="70">'491'!$T$72</definedName>
    <definedName name="OSRRefT22_12x_0" localSheetId="82">'492'!$T$71:$T$73</definedName>
    <definedName name="OSRRefT22_12x_0" localSheetId="89">'501'!$T$68</definedName>
    <definedName name="OSRRefT22_12x_0" localSheetId="39">'Div 2'!$T$64:$T$67</definedName>
    <definedName name="OSRRefT22_12x_0" localSheetId="47">'Div 3'!$T$106</definedName>
    <definedName name="OSRRefT22_12x_0" localSheetId="68">'Div 4'!$T$75</definedName>
    <definedName name="OSRRefT22_12x_0" localSheetId="88">'Div 5'!$T$68</definedName>
    <definedName name="OSRRefT22_12x_0" localSheetId="2">Summary!$T$115</definedName>
    <definedName name="OSRRefT22_13x_0" localSheetId="41">'201'!$T$67</definedName>
    <definedName name="OSRRefT22_13x_0" localSheetId="43">'203'!$T$71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55">'307'!$T$83</definedName>
    <definedName name="OSRRefT22_13x_0" localSheetId="51">'308'!$T$85</definedName>
    <definedName name="OSRRefT22_13x_0" localSheetId="63">'310'!$T$77:$T$79</definedName>
    <definedName name="OSRRefT22_13x_0" localSheetId="69">'310 &amp; 491'!$T$75:$T$78</definedName>
    <definedName name="OSRRefT22_13x_0" localSheetId="52">'311'!$T$85</definedName>
    <definedName name="OSRRefT22_13x_0" localSheetId="57">'315'!$T$89:$T$91</definedName>
    <definedName name="OSRRefT22_13x_0" localSheetId="66">'325'!$T$73:$T$78</definedName>
    <definedName name="OSRRefT22_13x_0" localSheetId="58">'326'!$T$74:$T$75</definedName>
    <definedName name="OSRRefT22_13x_0" localSheetId="56">'331'!$T$89</definedName>
    <definedName name="OSRRefT22_13x_0" localSheetId="54">'333'!$T$92</definedName>
    <definedName name="OSRRefT22_13x_0" localSheetId="71">'405'!$T$83</definedName>
    <definedName name="OSRRefT22_13x_0" localSheetId="73">'411'!$T$70</definedName>
    <definedName name="OSRRefT22_13x_0" localSheetId="77">'415'!$T$76</definedName>
    <definedName name="OSRRefT22_13x_0" localSheetId="78">'418'!$T$82</definedName>
    <definedName name="OSRRefT22_13x_0" localSheetId="84">'433'!$T$76:$T$83</definedName>
    <definedName name="OSRRefT22_13x_0" localSheetId="86">'444'!$T$75</definedName>
    <definedName name="OSRRefT22_13x_0" localSheetId="87">'450'!$T$76:$T$82</definedName>
    <definedName name="OSRRefT22_13x_0" localSheetId="70">'491'!$T$74:$T$77</definedName>
    <definedName name="OSRRefT22_13x_0" localSheetId="82">'492'!$T$75:$T$78</definedName>
    <definedName name="OSRRefT22_13x_0" localSheetId="89">'501'!$T$70</definedName>
    <definedName name="OSRRefT22_13x_0" localSheetId="39">'Div 2'!$T$69:$T$72</definedName>
    <definedName name="OSRRefT22_13x_0" localSheetId="47">'Div 3'!$T$108</definedName>
    <definedName name="OSRRefT22_13x_0" localSheetId="68">'Div 4'!$T$77</definedName>
    <definedName name="OSRRefT22_13x_0" localSheetId="88">'Div 5'!$T$70</definedName>
    <definedName name="OSRRefT22_13x_0" localSheetId="2">Summary!$T$117</definedName>
    <definedName name="OSRRefT22_14x_0" localSheetId="41">'201'!$T$69</definedName>
    <definedName name="OSRRefT22_14x_0" localSheetId="43">'203'!$T$73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3">'310'!$T$81:$T$86</definedName>
    <definedName name="OSRRefT22_14x_0" localSheetId="69">'310 &amp; 491'!$T$80:$T$81</definedName>
    <definedName name="OSRRefT22_14x_0" localSheetId="57">'315'!$T$93:$T$94</definedName>
    <definedName name="OSRRefT22_14x_0" localSheetId="66">'325'!$T$80:$T$81</definedName>
    <definedName name="OSRRefT22_14x_0" localSheetId="58">'326'!$T$77:$T$79</definedName>
    <definedName name="OSRRefT22_14x_0" localSheetId="56">'331'!$T$91:$T$92</definedName>
    <definedName name="OSRRefT22_14x_0" localSheetId="54">'333'!$T$94:$T$95</definedName>
    <definedName name="OSRRefT22_14x_0" localSheetId="71">'405'!$T$85</definedName>
    <definedName name="OSRRefT22_14x_0" localSheetId="73">'411'!$T$72</definedName>
    <definedName name="OSRRefT22_14x_0" localSheetId="77">'415'!$T$78:$T$85</definedName>
    <definedName name="OSRRefT22_14x_0" localSheetId="78">'418'!$T$84</definedName>
    <definedName name="OSRRefT22_14x_0" localSheetId="84">'433'!$T$85</definedName>
    <definedName name="OSRRefT22_14x_0" localSheetId="86">'444'!$T$77:$T$85</definedName>
    <definedName name="OSRRefT22_14x_0" localSheetId="87">'450'!$T$84</definedName>
    <definedName name="OSRRefT22_14x_0" localSheetId="70">'491'!$T$79</definedName>
    <definedName name="OSRRefT22_14x_0" localSheetId="82">'492'!$T$80</definedName>
    <definedName name="OSRRefT22_14x_0" localSheetId="39">'Div 2'!$T$74:$T$75</definedName>
    <definedName name="OSRRefT22_14x_0" localSheetId="47">'Div 3'!$T$110</definedName>
    <definedName name="OSRRefT22_14x_0" localSheetId="68">'Div 4'!$T$79</definedName>
    <definedName name="OSRRefT22_14x_0" localSheetId="2">Summary!$T$119</definedName>
    <definedName name="OSRRefT22_15x_0" localSheetId="41">'201'!$T$71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3">'310'!$T$88:$T$89</definedName>
    <definedName name="OSRRefT22_15x_0" localSheetId="69">'310 &amp; 491'!$T$83:$T$87</definedName>
    <definedName name="OSRRefT22_15x_0" localSheetId="57">'315'!$T$96:$T$99</definedName>
    <definedName name="OSRRefT22_15x_0" localSheetId="66">'325'!$T$83</definedName>
    <definedName name="OSRRefT22_15x_0" localSheetId="58">'326'!$T$81</definedName>
    <definedName name="OSRRefT22_15x_0" localSheetId="56">'331'!$T$94:$T$96</definedName>
    <definedName name="OSRRefT22_15x_0" localSheetId="54">'333'!$T$97:$T$99</definedName>
    <definedName name="OSRRefT22_15x_0" localSheetId="71">'405'!$T$87</definedName>
    <definedName name="OSRRefT22_15x_0" localSheetId="73">'411'!$T$74:$T$75</definedName>
    <definedName name="OSRRefT22_15x_0" localSheetId="77">'415'!$T$87:$T$88</definedName>
    <definedName name="OSRRefT22_15x_0" localSheetId="78">'418'!$T$86</definedName>
    <definedName name="OSRRefT22_15x_0" localSheetId="84">'433'!$T$87</definedName>
    <definedName name="OSRRefT22_15x_0" localSheetId="86">'444'!$T$87</definedName>
    <definedName name="OSRRefT22_15x_0" localSheetId="87">'450'!$T$86</definedName>
    <definedName name="OSRRefT22_15x_0" localSheetId="70">'491'!$T$81:$T$85</definedName>
    <definedName name="OSRRefT22_15x_0" localSheetId="82">'492'!$T$82:$T$90</definedName>
    <definedName name="OSRRefT22_15x_0" localSheetId="39">'Div 2'!$T$77:$T$78</definedName>
    <definedName name="OSRRefT22_15x_0" localSheetId="47">'Div 3'!$T$112</definedName>
    <definedName name="OSRRefT22_15x_0" localSheetId="68">'Div 4'!$T$81:$T$84</definedName>
    <definedName name="OSRRefT22_15x_0" localSheetId="2">Summary!$T$121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3">'310'!$T$91</definedName>
    <definedName name="OSRRefT22_16x_0" localSheetId="69">'310 &amp; 491'!$T$89</definedName>
    <definedName name="OSRRefT22_16x_0" localSheetId="57">'315'!$T$101</definedName>
    <definedName name="OSRRefT22_16x_0" localSheetId="66">'325'!$T$85</definedName>
    <definedName name="OSRRefT22_16x_0" localSheetId="58">'326'!$T$83:$T$84</definedName>
    <definedName name="OSRRefT22_16x_0" localSheetId="56">'331'!$T$98:$T$99</definedName>
    <definedName name="OSRRefT22_16x_0" localSheetId="54">'333'!$T$101:$T$103</definedName>
    <definedName name="OSRRefT22_16x_0" localSheetId="71">'405'!$T$89</definedName>
    <definedName name="OSRRefT22_16x_0" localSheetId="73">'411'!$T$77</definedName>
    <definedName name="OSRRefT22_16x_0" localSheetId="77">'415'!$T$90</definedName>
    <definedName name="OSRRefT22_16x_0" localSheetId="86">'444'!$T$89</definedName>
    <definedName name="OSRRefT22_16x_0" localSheetId="87">'450'!$T$88</definedName>
    <definedName name="OSRRefT22_16x_0" localSheetId="70">'491'!$T$87</definedName>
    <definedName name="OSRRefT22_16x_0" localSheetId="82">'492'!$T$92:$T$93</definedName>
    <definedName name="OSRRefT22_16x_0" localSheetId="39">'Div 2'!$T$80:$T$85</definedName>
    <definedName name="OSRRefT22_16x_0" localSheetId="47">'Div 3'!$T$114</definedName>
    <definedName name="OSRRefT22_16x_0" localSheetId="68">'Div 4'!$T$86</definedName>
    <definedName name="OSRRefT22_16x_0" localSheetId="2">Summary!$T$123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63">'310'!$T$93</definedName>
    <definedName name="OSRRefT22_17x_0" localSheetId="69">'310 &amp; 491'!$T$91:$T$100</definedName>
    <definedName name="OSRRefT22_17x_0" localSheetId="57">'315'!$T$103</definedName>
    <definedName name="OSRRefT22_17x_0" localSheetId="58">'326'!$T$86</definedName>
    <definedName name="OSRRefT22_17x_0" localSheetId="56">'331'!$T$101:$T$102</definedName>
    <definedName name="OSRRefT22_17x_0" localSheetId="54">'333'!$T$105:$T$106</definedName>
    <definedName name="OSRRefT22_17x_0" localSheetId="77">'415'!$T$92</definedName>
    <definedName name="OSRRefT22_17x_0" localSheetId="70">'491'!$T$89:$T$98</definedName>
    <definedName name="OSRRefT22_17x_0" localSheetId="82">'492'!$T$95</definedName>
    <definedName name="OSRRefT22_17x_0" localSheetId="39">'Div 2'!$T$87:$T$88</definedName>
    <definedName name="OSRRefT22_17x_0" localSheetId="47">'Div 3'!$T$116:$T$119</definedName>
    <definedName name="OSRRefT22_17x_0" localSheetId="68">'Div 4'!$T$88:$T$92</definedName>
    <definedName name="OSRRefT22_17x_0" localSheetId="2">Summary!$T$125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69">'310 &amp; 491'!$T$102:$T$103</definedName>
    <definedName name="OSRRefT22_18x_0" localSheetId="57">'315'!$T$105</definedName>
    <definedName name="OSRRefT22_18x_0" localSheetId="56">'331'!$T$104:$T$108</definedName>
    <definedName name="OSRRefT22_18x_0" localSheetId="54">'333'!$T$108:$T$113</definedName>
    <definedName name="OSRRefT22_18x_0" localSheetId="70">'491'!$T$100:$T$101</definedName>
    <definedName name="OSRRefT22_18x_0" localSheetId="82">'492'!$T$97:$T$98</definedName>
    <definedName name="OSRRefT22_18x_0" localSheetId="39">'Div 2'!$T$90</definedName>
    <definedName name="OSRRefT22_18x_0" localSheetId="47">'Div 3'!$T$121:$T$124</definedName>
    <definedName name="OSRRefT22_18x_0" localSheetId="68">'Div 4'!$T$94:$T$95</definedName>
    <definedName name="OSRRefT22_18x_0" localSheetId="2">Summary!$T$127:$T$130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69">'310 &amp; 491'!$T$105</definedName>
    <definedName name="OSRRefT22_19x_0" localSheetId="56">'331'!$T$110</definedName>
    <definedName name="OSRRefT22_19x_0" localSheetId="54">'333'!$T$115</definedName>
    <definedName name="OSRRefT22_19x_0" localSheetId="70">'491'!$T$103</definedName>
    <definedName name="OSRRefT22_19x_0" localSheetId="39">'Div 2'!$T$92:$T$93</definedName>
    <definedName name="OSRRefT22_19x_0" localSheetId="47">'Div 3'!$T$126:$T$129</definedName>
    <definedName name="OSRRefT22_19x_0" localSheetId="68">'Div 4'!$T$97:$T$106</definedName>
    <definedName name="OSRRefT22_19x_0" localSheetId="2">Summary!$T$132:$T$135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5">'307'!$T$44:$T$53</definedName>
    <definedName name="OSRRefT22_1x_0" localSheetId="51">'308'!$T$46:$T$55</definedName>
    <definedName name="OSRRefT22_1x_0" localSheetId="64">'309'!$T$29:$T$30</definedName>
    <definedName name="OSRRefT22_1x_0" localSheetId="63">'310'!$T$40:$T$49</definedName>
    <definedName name="OSRRefT22_1x_0" localSheetId="69">'310 &amp; 491'!$T$40:$T$49</definedName>
    <definedName name="OSRRefT22_1x_0" localSheetId="52">'311'!$T$46:$T$55</definedName>
    <definedName name="OSRRefT22_1x_0" localSheetId="57">'315'!$T$54:$T$63</definedName>
    <definedName name="OSRRefT22_1x_0" localSheetId="60">'316'!$T$37:$T$46</definedName>
    <definedName name="OSRRefT22_1x_0" localSheetId="62">'317'!$T$46:$T$55</definedName>
    <definedName name="OSRRefT22_1x_0" localSheetId="65">'321'!$T$35:$T$44</definedName>
    <definedName name="OSRRefT22_1x_0" localSheetId="66">'325'!$T$35:$T$44</definedName>
    <definedName name="OSRRefT22_1x_0" localSheetId="58">'326'!$T$38:$T$47</definedName>
    <definedName name="OSRRefT22_1x_0" localSheetId="67">'327'!$T$28</definedName>
    <definedName name="OSRRefT22_1x_0" localSheetId="56">'331'!$T$54:$T$63</definedName>
    <definedName name="OSRRefT22_1x_0" localSheetId="59">'332'!$T$37:$T$46</definedName>
    <definedName name="OSRRefT22_1x_0" localSheetId="54">'333'!$T$56:$T$65</definedName>
    <definedName name="OSRRefT22_1x_0" localSheetId="71">'405'!$T$37:$T$46</definedName>
    <definedName name="OSRRefT22_1x_0" localSheetId="72">'406'!$T$22</definedName>
    <definedName name="OSRRefT22_1x_0" localSheetId="73">'411'!$T$30:$T$39</definedName>
    <definedName name="OSRRefT22_1x_0" localSheetId="74">'412'!$T$22</definedName>
    <definedName name="OSRRefT22_1x_0" localSheetId="75">'413'!$T$22</definedName>
    <definedName name="OSRRefT22_1x_0" localSheetId="76">'414'!$T$22</definedName>
    <definedName name="OSRRefT22_1x_0" localSheetId="77">'415'!$T$38:$T$47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'425'!$T$24</definedName>
    <definedName name="OSRRefT22_1x_0" localSheetId="83">'430'!$T$30:$T$39</definedName>
    <definedName name="OSRRefT22_1x_0" localSheetId="84">'433'!$T$38:$T$47</definedName>
    <definedName name="OSRRefT22_1x_0" localSheetId="85">'435'!$T$26</definedName>
    <definedName name="OSRRefT22_1x_0" localSheetId="86">'444'!$T$38:$T$47</definedName>
    <definedName name="OSRRefT22_1x_0" localSheetId="87">'450'!$T$38:$T$47</definedName>
    <definedName name="OSRRefT22_1x_0" localSheetId="70">'491'!$T$39:$T$48</definedName>
    <definedName name="OSRRefT22_1x_0" localSheetId="82">'492'!$T$40:$T$49</definedName>
    <definedName name="OSRRefT22_1x_0" localSheetId="89">'501'!$T$32:$T$41</definedName>
    <definedName name="OSRRefT22_1x_0" localSheetId="39">'Div 2'!$T$32:$T$41</definedName>
    <definedName name="OSRRefT22_1x_0" localSheetId="47">'Div 3'!$T$71:$T$80</definedName>
    <definedName name="OSRRefT22_1x_0" localSheetId="68">'Div 4'!$T$42:$T$51</definedName>
    <definedName name="OSRRefT22_1x_0" localSheetId="88">'Div 5'!$T$32:$T$41</definedName>
    <definedName name="OSRRefT22_1x_0" localSheetId="61">'Div 6'!$T$46:$T$55</definedName>
    <definedName name="OSRRefT22_1x_0" localSheetId="2">Summary!$T$79:$T$88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69">'310 &amp; 491'!$T$107:$T$108</definedName>
    <definedName name="OSRRefT22_20x_0" localSheetId="56">'331'!$T$112</definedName>
    <definedName name="OSRRefT22_20x_0" localSheetId="54">'333'!$T$117</definedName>
    <definedName name="OSRRefT22_20x_0" localSheetId="70">'491'!$T$105:$T$106</definedName>
    <definedName name="OSRRefT22_20x_0" localSheetId="47">'Div 3'!$T$131:$T$132</definedName>
    <definedName name="OSRRefT22_20x_0" localSheetId="68">'Div 4'!$T$108:$T$109</definedName>
    <definedName name="OSRRefT22_20x_0" localSheetId="2">Summary!$T$137:$T$141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'301'!$T$92:$T$94</definedName>
    <definedName name="OSRRefT22_21x_0" localSheetId="69">'310 &amp; 491'!$T$110</definedName>
    <definedName name="OSRRefT22_21x_0" localSheetId="56">'331'!$T$114:$T$115</definedName>
    <definedName name="OSRRefT22_21x_0" localSheetId="54">'333'!$T$119:$T$120</definedName>
    <definedName name="OSRRefT22_21x_0" localSheetId="70">'491'!$T$108</definedName>
    <definedName name="OSRRefT22_21x_0" localSheetId="47">'Div 3'!$T$134:$T$140</definedName>
    <definedName name="OSRRefT22_21x_0" localSheetId="68">'Div 4'!$T$111</definedName>
    <definedName name="OSRRefT22_21x_0" localSheetId="2">Summary!$T$143:$T$144</definedName>
    <definedName name="OSRRefT22_22x_0" localSheetId="48">'300'!$T$136</definedName>
    <definedName name="OSRRefT22_22x_0" localSheetId="49">'300 &amp; 317'!$T$142</definedName>
    <definedName name="OSRRefT22_22x_0" localSheetId="50">'301'!$T$96</definedName>
    <definedName name="OSRRefT22_22x_0" localSheetId="56">'331'!$T$117</definedName>
    <definedName name="OSRRefT22_22x_0" localSheetId="54">'333'!$T$122</definedName>
    <definedName name="OSRRefT22_22x_0" localSheetId="47">'Div 3'!$T$142:$T$143</definedName>
    <definedName name="OSRRefT22_22x_0" localSheetId="68">'Div 4'!$T$113:$T$114</definedName>
    <definedName name="OSRRefT22_22x_0" localSheetId="2">Summary!$T$146:$T$155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3'!$T$145</definedName>
    <definedName name="OSRRefT22_23x_0" localSheetId="68">'Div 4'!$T$116</definedName>
    <definedName name="OSRRefT22_23x_0" localSheetId="2">Summary!$T$157:$T$158</definedName>
    <definedName name="OSRRefT22_24x_0" localSheetId="48">'300'!$T$142</definedName>
    <definedName name="OSRRefT22_24x_0" localSheetId="49">'300 &amp; 317'!$T$148</definedName>
    <definedName name="OSRRefT22_24x_0" localSheetId="47">'Div 3'!$T$147:$T$149</definedName>
    <definedName name="OSRRefT22_24x_0" localSheetId="2">Summary!$T$160</definedName>
    <definedName name="OSRRefT22_25x_0" localSheetId="47">'Div 3'!$T$151</definedName>
    <definedName name="OSRRefT22_25x_0" localSheetId="2">Summary!$T$162:$T$164</definedName>
    <definedName name="OSRRefT22_26x_0" localSheetId="2">Summary!$T$166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5">'307'!$T$55</definedName>
    <definedName name="OSRRefT22_2x_0" localSheetId="51">'308'!$T$57</definedName>
    <definedName name="OSRRefT22_2x_0" localSheetId="64">'309'!$T$32</definedName>
    <definedName name="OSRRefT22_2x_0" localSheetId="63">'310'!$T$51</definedName>
    <definedName name="OSRRefT22_2x_0" localSheetId="69">'310 &amp; 491'!$T$51</definedName>
    <definedName name="OSRRefT22_2x_0" localSheetId="52">'311'!$T$57</definedName>
    <definedName name="OSRRefT22_2x_0" localSheetId="57">'315'!$T$65</definedName>
    <definedName name="OSRRefT22_2x_0" localSheetId="60">'316'!$T$48</definedName>
    <definedName name="OSRRefT22_2x_0" localSheetId="62">'317'!$T$57</definedName>
    <definedName name="OSRRefT22_2x_0" localSheetId="65">'321'!$T$46</definedName>
    <definedName name="OSRRefT22_2x_0" localSheetId="66">'325'!$T$46</definedName>
    <definedName name="OSRRefT22_2x_0" localSheetId="58">'326'!$T$49</definedName>
    <definedName name="OSRRefT22_2x_0" localSheetId="56">'331'!$T$65</definedName>
    <definedName name="OSRRefT22_2x_0" localSheetId="59">'332'!$T$48</definedName>
    <definedName name="OSRRefT22_2x_0" localSheetId="54">'333'!$T$67</definedName>
    <definedName name="OSRRefT22_2x_0" localSheetId="71">'405'!$T$48</definedName>
    <definedName name="OSRRefT22_2x_0" localSheetId="73">'411'!$T$41</definedName>
    <definedName name="OSRRefT22_2x_0" localSheetId="74">'412'!$T$24</definedName>
    <definedName name="OSRRefT22_2x_0" localSheetId="75">'413'!$T$24</definedName>
    <definedName name="OSRRefT22_2x_0" localSheetId="76">'414'!$T$24</definedName>
    <definedName name="OSRRefT22_2x_0" localSheetId="77">'415'!$T$49</definedName>
    <definedName name="OSRRefT22_2x_0" localSheetId="78">'418'!$T$45</definedName>
    <definedName name="OSRRefT22_2x_0" localSheetId="79">'423'!$T$40</definedName>
    <definedName name="OSRRefT22_2x_0" localSheetId="80">'424'!$T$24</definedName>
    <definedName name="OSRRefT22_2x_0" localSheetId="81">'425'!$T$26</definedName>
    <definedName name="OSRRefT22_2x_0" localSheetId="83">'430'!$T$41</definedName>
    <definedName name="OSRRefT22_2x_0" localSheetId="84">'433'!$T$49</definedName>
    <definedName name="OSRRefT22_2x_0" localSheetId="85">'435'!$T$28</definedName>
    <definedName name="OSRRefT22_2x_0" localSheetId="86">'444'!$T$49</definedName>
    <definedName name="OSRRefT22_2x_0" localSheetId="87">'450'!$T$49</definedName>
    <definedName name="OSRRefT22_2x_0" localSheetId="70">'491'!$T$50</definedName>
    <definedName name="OSRRefT22_2x_0" localSheetId="82">'492'!$T$51</definedName>
    <definedName name="OSRRefT22_2x_0" localSheetId="89">'501'!$T$43</definedName>
    <definedName name="OSRRefT22_2x_0" localSheetId="39">'Div 2'!$T$43</definedName>
    <definedName name="OSRRefT22_2x_0" localSheetId="47">'Div 3'!$T$82</definedName>
    <definedName name="OSRRefT22_2x_0" localSheetId="68">'Div 4'!$T$53</definedName>
    <definedName name="OSRRefT22_2x_0" localSheetId="88">'Div 5'!$T$43</definedName>
    <definedName name="OSRRefT22_2x_0" localSheetId="61">'Div 6'!$T$57</definedName>
    <definedName name="OSRRefT22_2x_0" localSheetId="2">Summary!$T$90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5">'307'!$T$57</definedName>
    <definedName name="OSRRefT22_3x_0" localSheetId="51">'308'!$T$59</definedName>
    <definedName name="OSRRefT22_3x_0" localSheetId="64">'309'!$T$34</definedName>
    <definedName name="OSRRefT22_3x_0" localSheetId="63">'310'!$T$53</definedName>
    <definedName name="OSRRefT22_3x_0" localSheetId="69">'310 &amp; 491'!$T$53</definedName>
    <definedName name="OSRRefT22_3x_0" localSheetId="52">'311'!$T$59</definedName>
    <definedName name="OSRRefT22_3x_0" localSheetId="57">'315'!$T$67</definedName>
    <definedName name="OSRRefT22_3x_0" localSheetId="60">'316'!$T$50</definedName>
    <definedName name="OSRRefT22_3x_0" localSheetId="62">'317'!$T$59</definedName>
    <definedName name="OSRRefT22_3x_0" localSheetId="65">'321'!$T$48</definedName>
    <definedName name="OSRRefT22_3x_0" localSheetId="66">'325'!$T$48</definedName>
    <definedName name="OSRRefT22_3x_0" localSheetId="58">'326'!$T$51</definedName>
    <definedName name="OSRRefT22_3x_0" localSheetId="56">'331'!$T$67</definedName>
    <definedName name="OSRRefT22_3x_0" localSheetId="59">'332'!$T$50</definedName>
    <definedName name="OSRRefT22_3x_0" localSheetId="54">'333'!$T$69</definedName>
    <definedName name="OSRRefT22_3x_0" localSheetId="71">'405'!$T$50</definedName>
    <definedName name="OSRRefT22_3x_0" localSheetId="73">'411'!$T$43:$T$44</definedName>
    <definedName name="OSRRefT22_3x_0" localSheetId="74">'412'!$T$26</definedName>
    <definedName name="OSRRefT22_3x_0" localSheetId="77">'415'!$T$51</definedName>
    <definedName name="OSRRefT22_3x_0" localSheetId="78">'418'!$T$47</definedName>
    <definedName name="OSRRefT22_3x_0" localSheetId="79">'423'!$T$42</definedName>
    <definedName name="OSRRefT22_3x_0" localSheetId="81">'425'!$T$28</definedName>
    <definedName name="OSRRefT22_3x_0" localSheetId="83">'430'!$T$43</definedName>
    <definedName name="OSRRefT22_3x_0" localSheetId="84">'433'!$T$51</definedName>
    <definedName name="OSRRefT22_3x_0" localSheetId="85">'435'!$T$30</definedName>
    <definedName name="OSRRefT22_3x_0" localSheetId="86">'444'!$T$51</definedName>
    <definedName name="OSRRefT22_3x_0" localSheetId="87">'450'!$T$51</definedName>
    <definedName name="OSRRefT22_3x_0" localSheetId="70">'491'!$T$52</definedName>
    <definedName name="OSRRefT22_3x_0" localSheetId="82">'492'!$T$53</definedName>
    <definedName name="OSRRefT22_3x_0" localSheetId="89">'501'!$T$45</definedName>
    <definedName name="OSRRefT22_3x_0" localSheetId="39">'Div 2'!$T$45</definedName>
    <definedName name="OSRRefT22_3x_0" localSheetId="47">'Div 3'!$T$84</definedName>
    <definedName name="OSRRefT22_3x_0" localSheetId="68">'Div 4'!$T$55</definedName>
    <definedName name="OSRRefT22_3x_0" localSheetId="88">'Div 5'!$T$45</definedName>
    <definedName name="OSRRefT22_3x_0" localSheetId="61">'Div 6'!$T$59</definedName>
    <definedName name="OSRRefT22_3x_0" localSheetId="2">Summary!$T$92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'204'!$T$47</definedName>
    <definedName name="OSRRefT22_4x_0" localSheetId="45">'205'!$T$45:$T$47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5">'307'!$T$59</definedName>
    <definedName name="OSRRefT22_4x_0" localSheetId="51">'308'!$T$61</definedName>
    <definedName name="OSRRefT22_4x_0" localSheetId="64">'309'!$T$36</definedName>
    <definedName name="OSRRefT22_4x_0" localSheetId="63">'310'!$T$55</definedName>
    <definedName name="OSRRefT22_4x_0" localSheetId="69">'310 &amp; 491'!$T$55</definedName>
    <definedName name="OSRRefT22_4x_0" localSheetId="52">'311'!$T$61</definedName>
    <definedName name="OSRRefT22_4x_0" localSheetId="57">'315'!$T$69</definedName>
    <definedName name="OSRRefT22_4x_0" localSheetId="60">'316'!$T$52</definedName>
    <definedName name="OSRRefT22_4x_0" localSheetId="62">'317'!$T$61</definedName>
    <definedName name="OSRRefT22_4x_0" localSheetId="65">'321'!$T$50</definedName>
    <definedName name="OSRRefT22_4x_0" localSheetId="66">'325'!$T$50</definedName>
    <definedName name="OSRRefT22_4x_0" localSheetId="58">'326'!$T$53</definedName>
    <definedName name="OSRRefT22_4x_0" localSheetId="56">'331'!$T$69</definedName>
    <definedName name="OSRRefT22_4x_0" localSheetId="59">'332'!$T$52</definedName>
    <definedName name="OSRRefT22_4x_0" localSheetId="54">'333'!$T$71</definedName>
    <definedName name="OSRRefT22_4x_0" localSheetId="71">'405'!$T$52</definedName>
    <definedName name="OSRRefT22_4x_0" localSheetId="73">'411'!$T$46</definedName>
    <definedName name="OSRRefT22_4x_0" localSheetId="74">'412'!$T$28</definedName>
    <definedName name="OSRRefT22_4x_0" localSheetId="77">'415'!$T$53</definedName>
    <definedName name="OSRRefT22_4x_0" localSheetId="78">'418'!$T$49:$T$50</definedName>
    <definedName name="OSRRefT22_4x_0" localSheetId="79">'423'!$T$44</definedName>
    <definedName name="OSRRefT22_4x_0" localSheetId="81">'425'!$T$30</definedName>
    <definedName name="OSRRefT22_4x_0" localSheetId="83">'430'!$T$45</definedName>
    <definedName name="OSRRefT22_4x_0" localSheetId="84">'433'!$T$53</definedName>
    <definedName name="OSRRefT22_4x_0" localSheetId="85">'435'!$T$32</definedName>
    <definedName name="OSRRefT22_4x_0" localSheetId="86">'444'!$T$53</definedName>
    <definedName name="OSRRefT22_4x_0" localSheetId="87">'450'!$T$53</definedName>
    <definedName name="OSRRefT22_4x_0" localSheetId="70">'491'!$T$54</definedName>
    <definedName name="OSRRefT22_4x_0" localSheetId="82">'492'!$T$55</definedName>
    <definedName name="OSRRefT22_4x_0" localSheetId="89">'501'!$T$47</definedName>
    <definedName name="OSRRefT22_4x_0" localSheetId="39">'Div 2'!$T$47</definedName>
    <definedName name="OSRRefT22_4x_0" localSheetId="47">'Div 3'!$T$86</definedName>
    <definedName name="OSRRefT22_4x_0" localSheetId="68">'Div 4'!$T$57</definedName>
    <definedName name="OSRRefT22_4x_0" localSheetId="88">'Div 5'!$T$47</definedName>
    <definedName name="OSRRefT22_4x_0" localSheetId="61">'Div 6'!$T$61</definedName>
    <definedName name="OSRRefT22_4x_0" localSheetId="2">Summary!$T$94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'204'!$T$49:$T$52</definedName>
    <definedName name="OSRRefT22_5x_0" localSheetId="45">'205'!$T$49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5">'307'!$T$61:$T$62</definedName>
    <definedName name="OSRRefT22_5x_0" localSheetId="51">'308'!$T$63</definedName>
    <definedName name="OSRRefT22_5x_0" localSheetId="64">'309'!$T$38</definedName>
    <definedName name="OSRRefT22_5x_0" localSheetId="63">'310'!$T$57:$T$58</definedName>
    <definedName name="OSRRefT22_5x_0" localSheetId="69">'310 &amp; 491'!$T$57:$T$58</definedName>
    <definedName name="OSRRefT22_5x_0" localSheetId="52">'311'!$T$63</definedName>
    <definedName name="OSRRefT22_5x_0" localSheetId="57">'315'!$T$71</definedName>
    <definedName name="OSRRefT22_5x_0" localSheetId="60">'316'!$T$54:$T$55</definedName>
    <definedName name="OSRRefT22_5x_0" localSheetId="62">'317'!$T$63</definedName>
    <definedName name="OSRRefT22_5x_0" localSheetId="65">'321'!$T$52</definedName>
    <definedName name="OSRRefT22_5x_0" localSheetId="66">'325'!$T$52:$T$53</definedName>
    <definedName name="OSRRefT22_5x_0" localSheetId="58">'326'!$T$55</definedName>
    <definedName name="OSRRefT22_5x_0" localSheetId="56">'331'!$T$71</definedName>
    <definedName name="OSRRefT22_5x_0" localSheetId="59">'332'!$T$54:$T$55</definedName>
    <definedName name="OSRRefT22_5x_0" localSheetId="54">'333'!$T$73:$T$74</definedName>
    <definedName name="OSRRefT22_5x_0" localSheetId="71">'405'!$T$54:$T$55</definedName>
    <definedName name="OSRRefT22_5x_0" localSheetId="73">'411'!$T$48</definedName>
    <definedName name="OSRRefT22_5x_0" localSheetId="77">'415'!$T$55:$T$56</definedName>
    <definedName name="OSRRefT22_5x_0" localSheetId="78">'418'!$T$52</definedName>
    <definedName name="OSRRefT22_5x_0" localSheetId="79">'423'!$T$46</definedName>
    <definedName name="OSRRefT22_5x_0" localSheetId="81">'425'!$T$32</definedName>
    <definedName name="OSRRefT22_5x_0" localSheetId="83">'430'!$T$47:$T$49</definedName>
    <definedName name="OSRRefT22_5x_0" localSheetId="84">'433'!$T$55</definedName>
    <definedName name="OSRRefT22_5x_0" localSheetId="86">'444'!$T$55</definedName>
    <definedName name="OSRRefT22_5x_0" localSheetId="87">'450'!$T$55</definedName>
    <definedName name="OSRRefT22_5x_0" localSheetId="70">'491'!$T$56:$T$57</definedName>
    <definedName name="OSRRefT22_5x_0" localSheetId="82">'492'!$T$57</definedName>
    <definedName name="OSRRefT22_5x_0" localSheetId="89">'501'!$T$49:$T$50</definedName>
    <definedName name="OSRRefT22_5x_0" localSheetId="39">'Div 2'!$T$49:$T$50</definedName>
    <definedName name="OSRRefT22_5x_0" localSheetId="47">'Div 3'!$T$88:$T$89</definedName>
    <definedName name="OSRRefT22_5x_0" localSheetId="68">'Div 4'!$T$59:$T$60</definedName>
    <definedName name="OSRRefT22_5x_0" localSheetId="88">'Div 5'!$T$49:$T$50</definedName>
    <definedName name="OSRRefT22_5x_0" localSheetId="61">'Div 6'!$T$63</definedName>
    <definedName name="OSRRefT22_5x_0" localSheetId="2">Summary!$T$96:$T$97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'204'!$T$54:$T$55</definedName>
    <definedName name="OSRRefT22_6x_0" localSheetId="45">'205'!$T$51:$T$53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5">'307'!$T$64</definedName>
    <definedName name="OSRRefT22_6x_0" localSheetId="51">'308'!$T$65:$T$66</definedName>
    <definedName name="OSRRefT22_6x_0" localSheetId="64">'309'!$T$40</definedName>
    <definedName name="OSRRefT22_6x_0" localSheetId="63">'310'!$T$60</definedName>
    <definedName name="OSRRefT22_6x_0" localSheetId="69">'310 &amp; 491'!$T$60</definedName>
    <definedName name="OSRRefT22_6x_0" localSheetId="52">'311'!$T$65:$T$66</definedName>
    <definedName name="OSRRefT22_6x_0" localSheetId="57">'315'!$T$73</definedName>
    <definedName name="OSRRefT22_6x_0" localSheetId="60">'316'!$T$57</definedName>
    <definedName name="OSRRefT22_6x_0" localSheetId="62">'317'!$T$65</definedName>
    <definedName name="OSRRefT22_6x_0" localSheetId="65">'321'!$T$54</definedName>
    <definedName name="OSRRefT22_6x_0" localSheetId="66">'325'!$T$55</definedName>
    <definedName name="OSRRefT22_6x_0" localSheetId="58">'326'!$T$57:$T$58</definedName>
    <definedName name="OSRRefT22_6x_0" localSheetId="56">'331'!$T$73</definedName>
    <definedName name="OSRRefT22_6x_0" localSheetId="59">'332'!$T$57</definedName>
    <definedName name="OSRRefT22_6x_0" localSheetId="54">'333'!$T$76</definedName>
    <definedName name="OSRRefT22_6x_0" localSheetId="71">'405'!$T$57</definedName>
    <definedName name="OSRRefT22_6x_0" localSheetId="73">'411'!$T$50</definedName>
    <definedName name="OSRRefT22_6x_0" localSheetId="77">'415'!$T$58</definedName>
    <definedName name="OSRRefT22_6x_0" localSheetId="78">'418'!$T$54</definedName>
    <definedName name="OSRRefT22_6x_0" localSheetId="83">'430'!$T$51:$T$52</definedName>
    <definedName name="OSRRefT22_6x_0" localSheetId="84">'433'!$T$57</definedName>
    <definedName name="OSRRefT22_6x_0" localSheetId="86">'444'!$T$57</definedName>
    <definedName name="OSRRefT22_6x_0" localSheetId="87">'450'!$T$57</definedName>
    <definedName name="OSRRefT22_6x_0" localSheetId="70">'491'!$T$59</definedName>
    <definedName name="OSRRefT22_6x_0" localSheetId="82">'492'!$T$59</definedName>
    <definedName name="OSRRefT22_6x_0" localSheetId="89">'501'!$T$52</definedName>
    <definedName name="OSRRefT22_6x_0" localSheetId="39">'Div 2'!$T$52</definedName>
    <definedName name="OSRRefT22_6x_0" localSheetId="47">'Div 3'!$T$91:$T$92</definedName>
    <definedName name="OSRRefT22_6x_0" localSheetId="68">'Div 4'!$T$62</definedName>
    <definedName name="OSRRefT22_6x_0" localSheetId="88">'Div 5'!$T$52</definedName>
    <definedName name="OSRRefT22_6x_0" localSheetId="61">'Div 6'!$T$65</definedName>
    <definedName name="OSRRefT22_6x_0" localSheetId="2">Summary!$T$99:$T$100</definedName>
    <definedName name="OSRRefT22_7x_0" localSheetId="41">'201'!$T$51</definedName>
    <definedName name="OSRRefT22_7x_0" localSheetId="42">'202'!$T$51:$T$53</definedName>
    <definedName name="OSRRefT22_7x_0" localSheetId="43">'203'!$T$52</definedName>
    <definedName name="OSRRefT22_7x_0" localSheetId="44">'204'!$T$57</definedName>
    <definedName name="OSRRefT22_7x_0" localSheetId="45">'205'!$T$55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5">'307'!$T$66</definedName>
    <definedName name="OSRRefT22_7x_0" localSheetId="51">'308'!$T$68</definedName>
    <definedName name="OSRRefT22_7x_0" localSheetId="64">'309'!$T$42</definedName>
    <definedName name="OSRRefT22_7x_0" localSheetId="63">'310'!$T$62</definedName>
    <definedName name="OSRRefT22_7x_0" localSheetId="69">'310 &amp; 491'!$T$62</definedName>
    <definedName name="OSRRefT22_7x_0" localSheetId="52">'311'!$T$68</definedName>
    <definedName name="OSRRefT22_7x_0" localSheetId="57">'315'!$T$75</definedName>
    <definedName name="OSRRefT22_7x_0" localSheetId="60">'316'!$T$59:$T$61</definedName>
    <definedName name="OSRRefT22_7x_0" localSheetId="62">'317'!$T$67</definedName>
    <definedName name="OSRRefT22_7x_0" localSheetId="65">'321'!$T$56:$T$57</definedName>
    <definedName name="OSRRefT22_7x_0" localSheetId="66">'325'!$T$57</definedName>
    <definedName name="OSRRefT22_7x_0" localSheetId="58">'326'!$T$60</definedName>
    <definedName name="OSRRefT22_7x_0" localSheetId="56">'331'!$T$75</definedName>
    <definedName name="OSRRefT22_7x_0" localSheetId="59">'332'!$T$59:$T$61</definedName>
    <definedName name="OSRRefT22_7x_0" localSheetId="54">'333'!$T$78</definedName>
    <definedName name="OSRRefT22_7x_0" localSheetId="71">'405'!$T$59</definedName>
    <definedName name="OSRRefT22_7x_0" localSheetId="73">'411'!$T$52</definedName>
    <definedName name="OSRRefT22_7x_0" localSheetId="77">'415'!$T$60</definedName>
    <definedName name="OSRRefT22_7x_0" localSheetId="78">'418'!$T$56:$T$57</definedName>
    <definedName name="OSRRefT22_7x_0" localSheetId="83">'430'!$T$54</definedName>
    <definedName name="OSRRefT22_7x_0" localSheetId="84">'433'!$T$59</definedName>
    <definedName name="OSRRefT22_7x_0" localSheetId="86">'444'!$T$59</definedName>
    <definedName name="OSRRefT22_7x_0" localSheetId="87">'450'!$T$59</definedName>
    <definedName name="OSRRefT22_7x_0" localSheetId="70">'491'!$T$61</definedName>
    <definedName name="OSRRefT22_7x_0" localSheetId="82">'492'!$T$61</definedName>
    <definedName name="OSRRefT22_7x_0" localSheetId="89">'501'!$T$54</definedName>
    <definedName name="OSRRefT22_7x_0" localSheetId="39">'Div 2'!$T$54</definedName>
    <definedName name="OSRRefT22_7x_0" localSheetId="47">'Div 3'!$T$94</definedName>
    <definedName name="OSRRefT22_7x_0" localSheetId="68">'Div 4'!$T$64</definedName>
    <definedName name="OSRRefT22_7x_0" localSheetId="88">'Div 5'!$T$54</definedName>
    <definedName name="OSRRefT22_7x_0" localSheetId="61">'Div 6'!$T$67</definedName>
    <definedName name="OSRRefT22_7x_0" localSheetId="2">Summary!$T$102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4">'204'!$T$59:$T$60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5">'307'!$T$68</definedName>
    <definedName name="OSRRefT22_8x_0" localSheetId="51">'308'!$T$70</definedName>
    <definedName name="OSRRefT22_8x_0" localSheetId="64">'309'!$T$44:$T$45</definedName>
    <definedName name="OSRRefT22_8x_0" localSheetId="63">'310'!$T$64</definedName>
    <definedName name="OSRRefT22_8x_0" localSheetId="69">'310 &amp; 491'!$T$64:$T$65</definedName>
    <definedName name="OSRRefT22_8x_0" localSheetId="52">'311'!$T$70</definedName>
    <definedName name="OSRRefT22_8x_0" localSheetId="57">'315'!$T$77:$T$78</definedName>
    <definedName name="OSRRefT22_8x_0" localSheetId="60">'316'!$T$63</definedName>
    <definedName name="OSRRefT22_8x_0" localSheetId="62">'317'!$T$69</definedName>
    <definedName name="OSRRefT22_8x_0" localSheetId="65">'321'!$T$59:$T$60</definedName>
    <definedName name="OSRRefT22_8x_0" localSheetId="66">'325'!$T$59</definedName>
    <definedName name="OSRRefT22_8x_0" localSheetId="58">'326'!$T$62</definedName>
    <definedName name="OSRRefT22_8x_0" localSheetId="56">'331'!$T$77:$T$78</definedName>
    <definedName name="OSRRefT22_8x_0" localSheetId="59">'332'!$T$63</definedName>
    <definedName name="OSRRefT22_8x_0" localSheetId="54">'333'!$T$80:$T$81</definedName>
    <definedName name="OSRRefT22_8x_0" localSheetId="71">'405'!$T$61</definedName>
    <definedName name="OSRRefT22_8x_0" localSheetId="73">'411'!$T$54</definedName>
    <definedName name="OSRRefT22_8x_0" localSheetId="77">'415'!$T$62</definedName>
    <definedName name="OSRRefT22_8x_0" localSheetId="78">'418'!$T$59:$T$60</definedName>
    <definedName name="OSRRefT22_8x_0" localSheetId="83">'430'!$T$56</definedName>
    <definedName name="OSRRefT22_8x_0" localSheetId="84">'433'!$T$61</definedName>
    <definedName name="OSRRefT22_8x_0" localSheetId="86">'444'!$T$61</definedName>
    <definedName name="OSRRefT22_8x_0" localSheetId="87">'450'!$T$61</definedName>
    <definedName name="OSRRefT22_8x_0" localSheetId="70">'491'!$T$63:$T$64</definedName>
    <definedName name="OSRRefT22_8x_0" localSheetId="82">'492'!$T$63</definedName>
    <definedName name="OSRRefT22_8x_0" localSheetId="89">'501'!$T$56</definedName>
    <definedName name="OSRRefT22_8x_0" localSheetId="39">'Div 2'!$T$56</definedName>
    <definedName name="OSRRefT22_8x_0" localSheetId="47">'Div 3'!$T$96</definedName>
    <definedName name="OSRRefT22_8x_0" localSheetId="68">'Div 4'!$T$66</definedName>
    <definedName name="OSRRefT22_8x_0" localSheetId="88">'Div 5'!$T$56</definedName>
    <definedName name="OSRRefT22_8x_0" localSheetId="61">'Div 6'!$T$69</definedName>
    <definedName name="OSRRefT22_8x_0" localSheetId="2">Summary!$T$104</definedName>
    <definedName name="OSRRefT22_9x_0" localSheetId="41">'201'!$T$55:$T$57</definedName>
    <definedName name="OSRRefT22_9x_0" localSheetId="42">'202'!$T$57:$T$58</definedName>
    <definedName name="OSRRefT22_9x_0" localSheetId="43">'203'!$T$58:$T$59</definedName>
    <definedName name="OSRRefT22_9x_0" localSheetId="44">'204'!$T$62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5">'307'!$T$70:$T$71</definedName>
    <definedName name="OSRRefT22_9x_0" localSheetId="51">'308'!$T$72:$T$74</definedName>
    <definedName name="OSRRefT22_9x_0" localSheetId="64">'309'!$T$47:$T$48</definedName>
    <definedName name="OSRRefT22_9x_0" localSheetId="63">'310'!$T$66</definedName>
    <definedName name="OSRRefT22_9x_0" localSheetId="69">'310 &amp; 491'!$T$67</definedName>
    <definedName name="OSRRefT22_9x_0" localSheetId="52">'311'!$T$72:$T$74</definedName>
    <definedName name="OSRRefT22_9x_0" localSheetId="57">'315'!$T$80</definedName>
    <definedName name="OSRRefT22_9x_0" localSheetId="60">'316'!$T$65</definedName>
    <definedName name="OSRRefT22_9x_0" localSheetId="62">'317'!$T$71:$T$72</definedName>
    <definedName name="OSRRefT22_9x_0" localSheetId="65">'321'!$T$62:$T$64</definedName>
    <definedName name="OSRRefT22_9x_0" localSheetId="66">'325'!$T$61</definedName>
    <definedName name="OSRRefT22_9x_0" localSheetId="58">'326'!$T$64</definedName>
    <definedName name="OSRRefT22_9x_0" localSheetId="56">'331'!$T$80:$T$81</definedName>
    <definedName name="OSRRefT22_9x_0" localSheetId="59">'332'!$T$65</definedName>
    <definedName name="OSRRefT22_9x_0" localSheetId="54">'333'!$T$83:$T$84</definedName>
    <definedName name="OSRRefT22_9x_0" localSheetId="71">'405'!$T$63:$T$64</definedName>
    <definedName name="OSRRefT22_9x_0" localSheetId="73">'411'!$T$56:$T$59</definedName>
    <definedName name="OSRRefT22_9x_0" localSheetId="77">'415'!$T$64</definedName>
    <definedName name="OSRRefT22_9x_0" localSheetId="78">'418'!$T$62:$T$65</definedName>
    <definedName name="OSRRefT22_9x_0" localSheetId="84">'433'!$T$63</definedName>
    <definedName name="OSRRefT22_9x_0" localSheetId="86">'444'!$T$63</definedName>
    <definedName name="OSRRefT22_9x_0" localSheetId="87">'450'!$T$63</definedName>
    <definedName name="OSRRefT22_9x_0" localSheetId="70">'491'!$T$66</definedName>
    <definedName name="OSRRefT22_9x_0" localSheetId="82">'492'!$T$65</definedName>
    <definedName name="OSRRefT22_9x_0" localSheetId="89">'501'!$T$58:$T$60</definedName>
    <definedName name="OSRRefT22_9x_0" localSheetId="39">'Div 2'!$T$58</definedName>
    <definedName name="OSRRefT22_9x_0" localSheetId="47">'Div 3'!$T$98</definedName>
    <definedName name="OSRRefT22_9x_0" localSheetId="68">'Div 4'!$T$68:$T$69</definedName>
    <definedName name="OSRRefT22_9x_0" localSheetId="88">'Div 5'!$T$58:$T$60</definedName>
    <definedName name="OSRRefT22_9x_0" localSheetId="61">'Div 6'!$T$71:$T$72</definedName>
    <definedName name="OSRRefT22_9x_0" localSheetId="2">Summary!$T$106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'201'!$T$20:$T$28,'201'!$T$30:$T$39,'201'!$T$41,'201'!$T$43,'201'!$T$45,'201'!$T$47,'201'!$T$49,'201'!$T$51,'201'!$T$53,'201'!$T$55:$T$57,'201'!$T$59:$T$60,'201'!$T$62,'201'!$T$64:$T$65,'201'!$T$67,'201'!$T$69,'201'!$T$71</definedName>
    <definedName name="OSRRefT22x_0" localSheetId="42">'202'!$T$20:$T$28,'202'!$T$30:$T$39,'202'!$T$41,'202'!$T$43,'202'!$T$45,'202'!$T$47,'202'!$T$49,'202'!$T$51:$T$53,'202'!$T$55,'202'!$T$57:$T$58,'202'!$T$60,'202'!$T$62,'202'!$T$64</definedName>
    <definedName name="OSRRefT22x_0" localSheetId="43">'203'!$T$20:$T$29,'203'!$T$31:$T$40,'203'!$T$42,'203'!$T$44,'203'!$T$46,'203'!$T$48,'203'!$T$50,'203'!$T$52,'203'!$T$54:$T$56,'203'!$T$58:$T$59,'203'!$T$61:$T$62,'203'!$T$64:$T$67,'203'!$T$69,'203'!$T$71,'203'!$T$73</definedName>
    <definedName name="OSRRefT22x_0" localSheetId="44">'204'!$T$20:$T$29,'204'!$T$31:$T$40,'204'!$T$42,'204'!$T$44:$T$45,'204'!$T$47,'204'!$T$49:$T$52,'204'!$T$54:$T$55,'204'!$T$57,'204'!$T$59:$T$60,'204'!$T$62,'204'!$T$64</definedName>
    <definedName name="OSRRefT22x_0" localSheetId="45">'205'!$T$20:$T$28,'205'!$T$30:$T$39,'205'!$T$41,'205'!$T$43,'205'!$T$45:$T$47,'205'!$T$49,'205'!$T$51:$T$53,'205'!$T$55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$94,'301'!$T$96</definedName>
    <definedName name="OSRRefT22x_0" localSheetId="55">'307'!$T$34:$T$42,'307'!$T$44:$T$53,'307'!$T$55,'307'!$T$57,'307'!$T$59,'307'!$T$61:$T$62,'307'!$T$64,'307'!$T$66,'307'!$T$68,'307'!$T$70:$T$71,'307'!$T$73:$T$74,'307'!$T$76,'307'!$T$78:$T$81,'307'!$T$83</definedName>
    <definedName name="OSRRefT22x_0" localSheetId="51">'308'!$T$35:$T$44,'308'!$T$46:$T$55,'308'!$T$57,'308'!$T$59,'308'!$T$61,'308'!$T$63,'308'!$T$65:$T$66,'308'!$T$68,'308'!$T$70,'308'!$T$72:$T$74,'308'!$T$76:$T$77,'308'!$T$79:$T$80,'308'!$T$82:$T$83,'308'!$T$85</definedName>
    <definedName name="OSRRefT22x_0" localSheetId="64">'309'!$T$26:$T$27,'309'!$T$29:$T$30,'309'!$T$32,'309'!$T$34,'309'!$T$36,'309'!$T$38,'309'!$T$40,'309'!$T$42,'309'!$T$44:$T$45,'309'!$T$47:$T$48,'309'!$T$50:$T$51,'309'!$T$53,'309'!$T$55</definedName>
    <definedName name="OSRRefT22x_0" localSheetId="63">'310'!$T$29:$T$38,'310'!$T$40:$T$49,'310'!$T$51,'310'!$T$53,'310'!$T$55,'310'!$T$57:$T$58,'310'!$T$60,'310'!$T$62,'310'!$T$64,'310'!$T$66,'310'!$T$68,'310'!$T$70:$T$72,'310'!$T$74:$T$75,'310'!$T$77:$T$79,'310'!$T$81:$T$86,'310'!$T$88:$T$89,'310'!$T$91,'310'!$T$93</definedName>
    <definedName name="OSRRefT22x_0" localSheetId="69">'310 &amp; 491'!$T$29:$T$38,'310 &amp; 491'!$T$40:$T$49,'310 &amp; 491'!$T$51,'310 &amp; 491'!$T$53,'310 &amp; 491'!$T$55,'310 &amp; 491'!$T$57:$T$58,'310 &amp; 491'!$T$60,'310 &amp; 491'!$T$62,'310 &amp; 491'!$T$64:$T$65,'310 &amp; 491'!$T$67,'310 &amp; 491'!$T$69,'310 &amp; 491'!$T$71,'310 &amp; 491'!$T$73,'310 &amp; 491'!$T$75:$T$78,'310 &amp; 491'!$T$80:$T$81,'310 &amp; 491'!$T$83:$T$87,'310 &amp; 491'!$T$89,'310 &amp; 491'!$T$91:$T$100,'310 &amp; 491'!$T$102:$T$103,'310 &amp; 491'!$T$105,'310 &amp; 491'!$T$107:$T$108,'310 &amp; 491'!$T$110</definedName>
    <definedName name="OSRRefT22x_0" localSheetId="52">'311'!$T$35:$T$44,'311'!$T$46:$T$55,'311'!$T$57,'311'!$T$59,'311'!$T$61,'311'!$T$63,'311'!$T$65:$T$66,'311'!$T$68,'311'!$T$70,'311'!$T$72:$T$74,'311'!$T$76:$T$77,'311'!$T$79:$T$80,'311'!$T$82:$T$83,'311'!$T$85</definedName>
    <definedName name="OSRRefT22x_0" localSheetId="57">'315'!$T$44:$T$52,'315'!$T$54:$T$63,'315'!$T$65,'315'!$T$67,'315'!$T$69,'315'!$T$71,'315'!$T$73,'315'!$T$75,'315'!$T$77:$T$78,'315'!$T$80,'315'!$T$82,'315'!$T$84,'315'!$T$86:$T$87,'315'!$T$89:$T$91,'315'!$T$93:$T$94,'315'!$T$96:$T$99,'315'!$T$101,'315'!$T$103,'315'!$T$105</definedName>
    <definedName name="OSRRefT22x_0" localSheetId="60">'316'!$T$27:$T$35,'316'!$T$37:$T$46,'316'!$T$48,'316'!$T$50,'316'!$T$52,'316'!$T$54:$T$55,'316'!$T$57,'316'!$T$59:$T$61,'316'!$T$63,'316'!$T$65,'316'!$T$67:$T$71,'316'!$T$73</definedName>
    <definedName name="OSRRefT22x_0" localSheetId="62">'317'!$T$35:$T$44,'317'!$T$46:$T$55,'317'!$T$57,'317'!$T$59,'317'!$T$61,'317'!$T$63,'317'!$T$65,'317'!$T$67,'317'!$T$69,'317'!$T$71:$T$72,'317'!$T$74</definedName>
    <definedName name="OSRRefT22x_0" localSheetId="65">'321'!$T$24:$T$33,'321'!$T$35:$T$44,'321'!$T$46,'321'!$T$48,'321'!$T$50,'321'!$T$52,'321'!$T$54,'321'!$T$56:$T$57,'321'!$T$59:$T$60,'321'!$T$62:$T$64,'321'!$T$66:$T$69,'321'!$T$71,'321'!$T$73</definedName>
    <definedName name="OSRRefT22x_0" localSheetId="66">'325'!$T$25:$T$33,'325'!$T$35:$T$44,'325'!$T$46,'325'!$T$48,'325'!$T$50,'325'!$T$52:$T$53,'325'!$T$55,'325'!$T$57,'325'!$T$59,'325'!$T$61,'325'!$T$63,'325'!$T$65:$T$67,'325'!$T$69:$T$71,'325'!$T$73:$T$78,'325'!$T$80:$T$81,'325'!$T$83,'325'!$T$85</definedName>
    <definedName name="OSRRefT22x_0" localSheetId="58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7">'327'!$T$26,'327'!$T$28</definedName>
    <definedName name="OSRRefT22x_0" localSheetId="56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,'331'!$T$114:$T$115,'331'!$T$117</definedName>
    <definedName name="OSRRefT22x_0" localSheetId="59">'332'!$T$27:$T$35,'332'!$T$37:$T$46,'332'!$T$48,'332'!$T$50,'332'!$T$52,'332'!$T$54:$T$55,'332'!$T$57,'332'!$T$59:$T$61,'332'!$T$63,'332'!$T$65,'332'!$T$67:$T$71,'332'!$T$73</definedName>
    <definedName name="OSRRefT22x_0" localSheetId="54">'333'!$T$46:$T$54,'333'!$T$56:$T$65,'333'!$T$67,'333'!$T$69,'333'!$T$71,'333'!$T$73:$T$74,'333'!$T$76,'333'!$T$78,'333'!$T$80:$T$81,'333'!$T$83:$T$84,'333'!$T$86,'333'!$T$88,'333'!$T$90,'333'!$T$92,'333'!$T$94:$T$95,'333'!$T$97:$T$99,'333'!$T$101:$T$103,'333'!$T$105:$T$106,'333'!$T$108:$T$113,'333'!$T$115,'333'!$T$117,'333'!$T$119:$T$120,'333'!$T$122</definedName>
    <definedName name="OSRRefT22x_0" localSheetId="71">'405'!$T$27:$T$35,'405'!$T$37:$T$46,'405'!$T$48,'405'!$T$50,'405'!$T$52,'405'!$T$54:$T$55,'405'!$T$57,'405'!$T$59,'405'!$T$61,'405'!$T$63:$T$64,'405'!$T$66:$T$69,'405'!$T$71,'405'!$T$73:$T$81,'405'!$T$83,'405'!$T$85,'405'!$T$87,'405'!$T$89</definedName>
    <definedName name="OSRRefT22x_0" localSheetId="72">'406'!$T$20,'406'!$T$22</definedName>
    <definedName name="OSRRefT22x_0" localSheetId="73">'411'!$T$20:$T$28,'411'!$T$30:$T$39,'411'!$T$41,'411'!$T$43:$T$44,'411'!$T$46,'411'!$T$48,'411'!$T$50,'411'!$T$52,'411'!$T$54,'411'!$T$56:$T$59,'411'!$T$61:$T$63,'411'!$T$65,'411'!$T$67:$T$68,'411'!$T$70,'411'!$T$72,'411'!$T$74:$T$75,'411'!$T$77</definedName>
    <definedName name="OSRRefT22x_0" localSheetId="74">'412'!$T$20,'412'!$T$22,'412'!$T$24,'412'!$T$26,'412'!$T$28</definedName>
    <definedName name="OSRRefT22x_0" localSheetId="75">'413'!$T$20,'413'!$T$22,'413'!$T$24</definedName>
    <definedName name="OSRRefT22x_0" localSheetId="76">'414'!$T$20,'414'!$T$22,'414'!$T$24</definedName>
    <definedName name="OSRRefT22x_0" localSheetId="77">'415'!$T$27:$T$36,'415'!$T$38:$T$47,'415'!$T$49,'415'!$T$51,'415'!$T$53,'415'!$T$55:$T$56,'415'!$T$58,'415'!$T$60,'415'!$T$62,'415'!$T$64,'415'!$T$66,'415'!$T$68:$T$69,'415'!$T$71:$T$74,'415'!$T$76,'415'!$T$78:$T$85,'415'!$T$87:$T$88,'415'!$T$90,'415'!$T$92</definedName>
    <definedName name="OSRRefT22x_0" localSheetId="78">'418'!$T$24:$T$32,'418'!$T$34:$T$43,'418'!$T$45,'418'!$T$47,'418'!$T$49:$T$50,'418'!$T$52,'418'!$T$54,'418'!$T$56:$T$57,'418'!$T$59:$T$60,'418'!$T$62:$T$65,'418'!$T$67,'418'!$T$69:$T$77,'418'!$T$79:$T$80,'418'!$T$82,'418'!$T$84,'418'!$T$86</definedName>
    <definedName name="OSRRefT22x_0" localSheetId="79">'423'!$T$20:$T$27,'423'!$T$29:$T$38,'423'!$T$40,'423'!$T$42,'423'!$T$44,'423'!$T$46</definedName>
    <definedName name="OSRRefT22x_0" localSheetId="80">'424'!$T$20,'424'!$T$22,'424'!$T$24</definedName>
    <definedName name="OSRRefT22x_0" localSheetId="81">'425'!$T$22,'425'!$T$24,'425'!$T$26,'425'!$T$28,'425'!$T$30,'425'!$T$32</definedName>
    <definedName name="OSRRefT22x_0" localSheetId="83">'430'!$T$20:$T$28,'430'!$T$30:$T$39,'430'!$T$41,'430'!$T$43,'430'!$T$45,'430'!$T$47:$T$49,'430'!$T$51:$T$52,'430'!$T$54,'430'!$T$56</definedName>
    <definedName name="OSRRefT22x_0" localSheetId="84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5">'435'!$T$23:$T$24,'435'!$T$26,'435'!$T$28,'435'!$T$30,'435'!$T$32</definedName>
    <definedName name="OSRRefT22x_0" localSheetId="86">'444'!$T$27:$T$36,'444'!$T$38:$T$47,'444'!$T$49,'444'!$T$51,'444'!$T$53,'444'!$T$55,'444'!$T$57,'444'!$T$59,'444'!$T$61,'444'!$T$63,'444'!$T$65,'444'!$T$67:$T$68,'444'!$T$70:$T$73,'444'!$T$75,'444'!$T$77:$T$85,'444'!$T$87,'444'!$T$89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0">'491'!$T$28:$T$37,'491'!$T$39:$T$48,'491'!$T$50,'491'!$T$52,'491'!$T$54,'491'!$T$56:$T$57,'491'!$T$59,'491'!$T$61,'491'!$T$63:$T$64,'491'!$T$66,'491'!$T$68,'491'!$T$70,'491'!$T$72,'491'!$T$74:$T$77,'491'!$T$79,'491'!$T$81:$T$85,'491'!$T$87,'491'!$T$89:$T$98,'491'!$T$100:$T$101,'491'!$T$103,'491'!$T$105:$T$106,'491'!$T$108</definedName>
    <definedName name="OSRRefT22x_0" localSheetId="82">'492'!$T$29:$T$38,'492'!$T$40:$T$49,'492'!$T$51,'492'!$T$53,'492'!$T$55,'492'!$T$57,'492'!$T$59,'492'!$T$61,'492'!$T$63,'492'!$T$65,'492'!$T$67,'492'!$T$69,'492'!$T$71:$T$73,'492'!$T$75:$T$78,'492'!$T$80,'492'!$T$82:$T$90,'492'!$T$92:$T$93,'492'!$T$95,'492'!$T$97:$T$98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47">'Div 3'!$T$60:$T$69,'Div 3'!$T$71:$T$80,'Div 3'!$T$82,'Div 3'!$T$84,'Div 3'!$T$86,'Div 3'!$T$88:$T$89,'Div 3'!$T$91:$T$92,'Div 3'!$T$94,'Div 3'!$T$96,'Div 3'!$T$98,'Div 3'!$T$100:$T$101,'Div 3'!$T$103:$T$104,'Div 3'!$T$106,'Div 3'!$T$108,'Div 3'!$T$110,'Div 3'!$T$112,'Div 3'!$T$114,'Div 3'!$T$116:$T$119,'Div 3'!$T$121:$T$124,'Div 3'!$T$126:$T$129,'Div 3'!$T$131:$T$132,'Div 3'!$T$134:$T$140,'Div 3'!$T$142:$T$143,'Div 3'!$T$145,'Div 3'!$T$147:$T$149,'Div 3'!$T$151</definedName>
    <definedName name="OSRRefT22x_0" localSheetId="68">'Div 4'!$T$31:$T$40,'Div 4'!$T$42:$T$51,'Div 4'!$T$53,'Div 4'!$T$55,'Div 4'!$T$57,'Div 4'!$T$59:$T$60,'Div 4'!$T$62,'Div 4'!$T$64,'Div 4'!$T$66,'Div 4'!$T$68:$T$69,'Div 4'!$T$71,'Div 4'!$T$73,'Div 4'!$T$75,'Div 4'!$T$77,'Div 4'!$T$79,'Div 4'!$T$81:$T$84,'Div 4'!$T$86,'Div 4'!$T$88:$T$92,'Div 4'!$T$94:$T$95,'Div 4'!$T$97:$T$106,'Div 4'!$T$108:$T$109,'Div 4'!$T$111,'Div 4'!$T$113:$T$114,'Div 4'!$T$116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6'!$T$69,'Div 6'!$T$71:$T$72,'Div 6'!$T$74</definedName>
    <definedName name="OSRRefT22x_0" localSheetId="2">Summary!$T$68:$T$77,Summary!$T$79:$T$88,Summary!$T$90,Summary!$T$92,Summary!$T$94,Summary!$T$96:$T$97,Summary!$T$99:$T$100,Summary!$T$102,Summary!$T$104,Summary!$T$106,Summary!$T$108:$T$109,Summary!$T$111:$T$113,Summary!$T$115,Summary!$T$117,Summary!$T$119,Summary!$T$121,Summary!$T$123,Summary!$T$125,Summary!$T$127:$T$130,Summary!$T$132:$T$135,Summary!$T$137:$T$141,Summary!$T$143:$T$144,Summary!$T$146:$T$155,Summary!$T$157:$T$158,Summary!$T$160,Summary!$T$162:$T$164,Summary!$T$166</definedName>
    <definedName name="OSRRefT25x_0" localSheetId="48">'300'!$T$145:$T$149</definedName>
    <definedName name="OSRRefT25x_0" localSheetId="49">'300 &amp; 317'!$T$151:$T$157</definedName>
    <definedName name="OSRRefT25x_0" localSheetId="50">'301'!$T$99:$T$100</definedName>
    <definedName name="OSRRefT25x_0" localSheetId="51">'308'!$T$88:$T$91</definedName>
    <definedName name="OSRRefT25x_0" localSheetId="69">'310 &amp; 491'!$T$113:$T$116</definedName>
    <definedName name="OSRRefT25x_0" localSheetId="52">'311'!$T$88:$T$91</definedName>
    <definedName name="OSRRefT25x_0" localSheetId="57">'315'!$T$108:$T$111</definedName>
    <definedName name="OSRRefT25x_0" localSheetId="60">'316'!$T$76</definedName>
    <definedName name="OSRRefT25x_0" localSheetId="62">'317'!$T$77:$T$79</definedName>
    <definedName name="OSRRefT25x_0" localSheetId="56">'331'!$T$120:$T$123</definedName>
    <definedName name="OSRRefT25x_0" localSheetId="59">'332'!$T$76</definedName>
    <definedName name="OSRRefT25x_0" localSheetId="54">'333'!$T$125:$T$128</definedName>
    <definedName name="OSRRefT25x_0" localSheetId="71">'405'!$T$92</definedName>
    <definedName name="OSRRefT25x_0" localSheetId="73">'411'!$T$80</definedName>
    <definedName name="OSRRefT25x_0" localSheetId="77">'415'!$T$95</definedName>
    <definedName name="OSRRefT25x_0" localSheetId="78">'418'!$T$89</definedName>
    <definedName name="OSRRefT25x_0" localSheetId="79">'423'!$T$49:$T$51</definedName>
    <definedName name="OSRRefT25x_0" localSheetId="70">'491'!$T$111:$T$114</definedName>
    <definedName name="OSRRefT25x_0" localSheetId="89">'501'!$T$73</definedName>
    <definedName name="OSRRefT25x_0" localSheetId="47">'Div 3'!$T$154:$T$158</definedName>
    <definedName name="OSRRefT25x_0" localSheetId="68">'Div 4'!$T$119:$T$122</definedName>
    <definedName name="OSRRefT25x_0" localSheetId="88">'Div 5'!$T$73</definedName>
    <definedName name="OSRRefT25x_0" localSheetId="61">'Div 6'!$T$77:$T$79</definedName>
    <definedName name="OSRRefT25x_0" localSheetId="2">Summary!$T$169:$T$176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'202'!$A$1:$Z$78</definedName>
    <definedName name="_xlnm.Print_Area" localSheetId="43">'203'!$A$1:$Z$87</definedName>
    <definedName name="_xlnm.Print_Area" localSheetId="44">'204'!$A$1:$Z$78</definedName>
    <definedName name="_xlnm.Print_Area" localSheetId="45">'205'!$A$1:$Z$69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'301'!$A$1:$Z$112</definedName>
    <definedName name="_xlnm.Print_Area" localSheetId="55">'307'!$A$1:$Z$97</definedName>
    <definedName name="_xlnm.Print_Area" localSheetId="51">'308'!$A$1:$Z$103</definedName>
    <definedName name="_xlnm.Print_Area" localSheetId="64">'309'!$A$1:$Z$69</definedName>
    <definedName name="_xlnm.Print_Area" localSheetId="63">'310'!$A$1:$Z$107</definedName>
    <definedName name="_xlnm.Print_Area" localSheetId="69">'310 &amp; 491'!$A$1:$Z$128</definedName>
    <definedName name="_xlnm.Print_Area" localSheetId="52">'311'!$A$1:$Z$103</definedName>
    <definedName name="_xlnm.Print_Area" localSheetId="57">'315'!$A$1:$Z$123</definedName>
    <definedName name="_xlnm.Print_Area" localSheetId="60">'316'!$A$1:$Z$88</definedName>
    <definedName name="_xlnm.Print_Area" localSheetId="62">'317'!$A$1:$Z$91</definedName>
    <definedName name="_xlnm.Print_Area" localSheetId="65">'321'!$A$1:$Z$87</definedName>
    <definedName name="_xlnm.Print_Area" localSheetId="53">'324'!$A$1:$Z$35</definedName>
    <definedName name="_xlnm.Print_Area" localSheetId="66">'325'!$A$1:$Z$99</definedName>
    <definedName name="_xlnm.Print_Area" localSheetId="58">'326'!$A$1:$Z$100</definedName>
    <definedName name="_xlnm.Print_Area" localSheetId="67">'327'!$A$1:$Z$42</definedName>
    <definedName name="_xlnm.Print_Area" localSheetId="56">'331'!$A$1:$Z$135</definedName>
    <definedName name="_xlnm.Print_Area" localSheetId="59">'332'!$A$1:$Z$88</definedName>
    <definedName name="_xlnm.Print_Area" localSheetId="54">'333'!$A$1:$Z$140</definedName>
    <definedName name="_xlnm.Print_Area" localSheetId="71">'405'!$A$1:$Z$104</definedName>
    <definedName name="_xlnm.Print_Area" localSheetId="72">'406'!$A$1:$Z$36</definedName>
    <definedName name="_xlnm.Print_Area" localSheetId="73">'411'!$A$1:$Z$92</definedName>
    <definedName name="_xlnm.Print_Area" localSheetId="74">'412'!$A$1:$Z$42</definedName>
    <definedName name="_xlnm.Print_Area" localSheetId="75">'413'!$A$1:$Z$38</definedName>
    <definedName name="_xlnm.Print_Area" localSheetId="76">'414'!$A$1:$Z$38</definedName>
    <definedName name="_xlnm.Print_Area" localSheetId="77">'415'!$A$1:$Z$107</definedName>
    <definedName name="_xlnm.Print_Area" localSheetId="78">'418'!$A$1:$Z$101</definedName>
    <definedName name="_xlnm.Print_Area" localSheetId="79">'423'!$A$1:$Z$63</definedName>
    <definedName name="_xlnm.Print_Area" localSheetId="80">'424'!$A$1:$Z$38</definedName>
    <definedName name="_xlnm.Print_Area" localSheetId="81">'425'!$A$1:$Z$46</definedName>
    <definedName name="_xlnm.Print_Area" localSheetId="83">'430'!$A$1:$Z$70</definedName>
    <definedName name="_xlnm.Print_Area" localSheetId="84">'433'!$A$1:$Z$101</definedName>
    <definedName name="_xlnm.Print_Area" localSheetId="85">'435'!$A$1:$Z$46</definedName>
    <definedName name="_xlnm.Print_Area" localSheetId="86">'444'!$A$1:$Z$103</definedName>
    <definedName name="_xlnm.Print_Area" localSheetId="87">'450'!$A$1:$Z$102</definedName>
    <definedName name="_xlnm.Print_Area" localSheetId="70">'491'!$A$1:$Z$126</definedName>
    <definedName name="_xlnm.Print_Area" localSheetId="82">'492'!$A$1:$Z$112</definedName>
    <definedName name="_xlnm.Print_Area" localSheetId="89">'501'!$A$1:$Z$85</definedName>
    <definedName name="_xlnm.Print_Area" localSheetId="90">Dept!$A$1:$Z$39</definedName>
    <definedName name="_xlnm.Print_Area" localSheetId="5">'Div 1'!$A$1:$Z$34</definedName>
    <definedName name="_xlnm.Print_Area" localSheetId="39">'Div 2'!$A$1:$Z$107</definedName>
    <definedName name="_xlnm.Print_Area" localSheetId="47">'Div 3'!$A$1:$Z$170</definedName>
    <definedName name="_xlnm.Print_Area" localSheetId="68">'Div 4'!$A$1:$Z$134</definedName>
    <definedName name="_xlnm.Print_Area" localSheetId="88">'Div 5'!$A$1:$Z$85</definedName>
    <definedName name="_xlnm.Print_Area" localSheetId="61">'Div 6'!$A$1:$Z$91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Summary!$A$1:$Z$190</definedName>
    <definedName name="_xlnm.Print_Titles" localSheetId="38">'100'!$1:$10</definedName>
    <definedName name="_xlnm.Print_Titles" localSheetId="40">'200'!$1:$10</definedName>
    <definedName name="_xlnm.Print_Titles" localSheetId="41">'201'!$1:$10</definedName>
    <definedName name="_xlnm.Print_Titles" localSheetId="42">'202'!$1:$10</definedName>
    <definedName name="_xlnm.Print_Titles" localSheetId="43">'203'!$1:$10</definedName>
    <definedName name="_xlnm.Print_Titles" localSheetId="44">'204'!$1:$10</definedName>
    <definedName name="_xlnm.Print_Titles" localSheetId="45">'205'!$1:$10</definedName>
    <definedName name="_xlnm.Print_Titles" localSheetId="46">'206'!$1:$10</definedName>
    <definedName name="_xlnm.Print_Titles" localSheetId="48">'300'!$1:$10</definedName>
    <definedName name="_xlnm.Print_Titles" localSheetId="49">'300 &amp; 317'!$1:$10</definedName>
    <definedName name="_xlnm.Print_Titles" localSheetId="50">'301'!$1:$10</definedName>
    <definedName name="_xlnm.Print_Titles" localSheetId="55">'307'!$1:$10</definedName>
    <definedName name="_xlnm.Print_Titles" localSheetId="51">'308'!$1:$10</definedName>
    <definedName name="_xlnm.Print_Titles" localSheetId="64">'309'!$1:$10</definedName>
    <definedName name="_xlnm.Print_Titles" localSheetId="63">'310'!$1:$10</definedName>
    <definedName name="_xlnm.Print_Titles" localSheetId="69">'310 &amp; 491'!$1:$10</definedName>
    <definedName name="_xlnm.Print_Titles" localSheetId="52">'311'!$1:$10</definedName>
    <definedName name="_xlnm.Print_Titles" localSheetId="57">'315'!$1:$10</definedName>
    <definedName name="_xlnm.Print_Titles" localSheetId="60">'316'!$1:$10</definedName>
    <definedName name="_xlnm.Print_Titles" localSheetId="62">'317'!$1:$10</definedName>
    <definedName name="_xlnm.Print_Titles" localSheetId="65">'321'!$1:$10</definedName>
    <definedName name="_xlnm.Print_Titles" localSheetId="53">'324'!$1:$10</definedName>
    <definedName name="_xlnm.Print_Titles" localSheetId="66">'325'!$1:$10</definedName>
    <definedName name="_xlnm.Print_Titles" localSheetId="58">'326'!$1:$10</definedName>
    <definedName name="_xlnm.Print_Titles" localSheetId="67">'327'!$1:$10</definedName>
    <definedName name="_xlnm.Print_Titles" localSheetId="56">'331'!$1:$10</definedName>
    <definedName name="_xlnm.Print_Titles" localSheetId="59">'332'!$1:$10</definedName>
    <definedName name="_xlnm.Print_Titles" localSheetId="54">'333'!$1:$10</definedName>
    <definedName name="_xlnm.Print_Titles" localSheetId="71">'405'!$1:$10</definedName>
    <definedName name="_xlnm.Print_Titles" localSheetId="72">'406'!$1:$10</definedName>
    <definedName name="_xlnm.Print_Titles" localSheetId="73">'411'!$1:$10</definedName>
    <definedName name="_xlnm.Print_Titles" localSheetId="74">'412'!$1:$10</definedName>
    <definedName name="_xlnm.Print_Titles" localSheetId="75">'413'!$1:$10</definedName>
    <definedName name="_xlnm.Print_Titles" localSheetId="76">'414'!$1:$10</definedName>
    <definedName name="_xlnm.Print_Titles" localSheetId="77">'415'!$1:$10</definedName>
    <definedName name="_xlnm.Print_Titles" localSheetId="78">'418'!$1:$10</definedName>
    <definedName name="_xlnm.Print_Titles" localSheetId="79">'423'!$1:$10</definedName>
    <definedName name="_xlnm.Print_Titles" localSheetId="80">'424'!$1:$10</definedName>
    <definedName name="_xlnm.Print_Titles" localSheetId="81">'425'!$1:$10</definedName>
    <definedName name="_xlnm.Print_Titles" localSheetId="83">'430'!$1:$10</definedName>
    <definedName name="_xlnm.Print_Titles" localSheetId="84">'433'!$1:$10</definedName>
    <definedName name="_xlnm.Print_Titles" localSheetId="85">'435'!$1:$10</definedName>
    <definedName name="_xlnm.Print_Titles" localSheetId="86">'444'!$1:$10</definedName>
    <definedName name="_xlnm.Print_Titles" localSheetId="87">'450'!$1:$10</definedName>
    <definedName name="_xlnm.Print_Titles" localSheetId="70">'491'!$1:$10</definedName>
    <definedName name="_xlnm.Print_Titles" localSheetId="82">'492'!$1:$10</definedName>
    <definedName name="_xlnm.Print_Titles" localSheetId="89">'501'!$1:$10</definedName>
    <definedName name="_xlnm.Print_Titles" localSheetId="90">Dept!$A:$C,Dept!$1:$10</definedName>
    <definedName name="_xlnm.Print_Titles" localSheetId="5">'Div 1'!$1:$10</definedName>
    <definedName name="_xlnm.Print_Titles" localSheetId="39">'Div 2'!$1:$10</definedName>
    <definedName name="_xlnm.Print_Titles" localSheetId="47">'Div 3'!$1:$10</definedName>
    <definedName name="_xlnm.Print_Titles" localSheetId="68">'Div 4'!$1:$10</definedName>
    <definedName name="_xlnm.Print_Titles" localSheetId="88">'Div 5'!$1:$10</definedName>
    <definedName name="_xlnm.Print_Titles" localSheetId="61">'Div 6'!$1:$10</definedName>
    <definedName name="_xlnm.Print_Titles" localSheetId="14">'OSR_300 &amp; 317_1C00ID4'!$1:$10</definedName>
    <definedName name="_xlnm.Print_Titles" localSheetId="15">'OSR_300 (2)_...6aa5a22d_14M6XO4'!$1:$10</definedName>
    <definedName name="_xlnm.Print_Titles" localSheetId="11">'OSR_300 (2)_7...54cb56fc_UFX0O2'!$1:$10</definedName>
    <definedName name="_xlnm.Print_Titles" localSheetId="17">'OSR_300 (2)_e...5d0da5bf_6BPGAO'!$1:$10</definedName>
    <definedName name="_xlnm.Print_Titles" localSheetId="12">OSR_300_IYZXI6!$A:$C,OSR_300_IYZXI6!$1:$10</definedName>
    <definedName name="_xlnm.Print_Titles" localSheetId="22">'OSR_308 (2)_...47685838_1YQW4QY'!$1:$10</definedName>
    <definedName name="_xlnm.Print_Titles" localSheetId="19">OSR_308_UAWDAG!$A:$C,OSR_308_UAWDAG!$1:$10</definedName>
    <definedName name="_xlnm.Print_Titles" localSheetId="28">'OSR_310 &amp; 491_1NGRCS9'!$1:$10</definedName>
    <definedName name="_xlnm.Print_Titles" localSheetId="18">'OSR_310 (2)_...6e684f08_1FLCNJG'!$1:$10</definedName>
    <definedName name="_xlnm.Print_Titles" localSheetId="27">'OSR_310 (2)_...8cac1423_1JTU33X'!$1:$10</definedName>
    <definedName name="_xlnm.Print_Titles" localSheetId="13">'OSR_310 (2)_5...3d931dee_QNK8R2'!$1:$10</definedName>
    <definedName name="_xlnm.Print_Titles" localSheetId="16">OSR_310_1CMTOSB!$A:$C,OSR_310_1CMTOSB!$1:$10</definedName>
    <definedName name="_xlnm.Print_Titles" localSheetId="20">'OSR_330 (2)_...8a14c83e_1NSH7XI'!$1:$10</definedName>
    <definedName name="_xlnm.Print_Titles" localSheetId="24">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(2)_...853a34aa_1UNC34K'!$1:$10</definedName>
    <definedName name="_xlnm.Print_Titles" localSheetId="30">OSR_491_9Z9JH5!$A:$C,OSR_491_9Z9JH5!$1:$10</definedName>
    <definedName name="_xlnm.Print_Titles" localSheetId="35">'OSR_492 (2)_...cd97c6a6_13HYXEV'!$1:$10</definedName>
    <definedName name="_xlnm.Print_Titles" localSheetId="32">OSR_492_943FP1!$A:$C,OSR_492_943FP1!$1:$10</definedName>
    <definedName name="_xlnm.Print_Titles" localSheetId="4">'OSR_Current ...69b7dd8c_1IEQKFK'!$1:$10</definedName>
    <definedName name="_xlnm.Print_Titles" localSheetId="91">OSR_Dept_Y0WUKY!$A:$C,OSR_Dept_Y0WUKY!$1:$10</definedName>
    <definedName name="_xlnm.Print_Titles" localSheetId="9">'OSR_Div 1 (2)...789fe994_2NV3KA'!$1:$10</definedName>
    <definedName name="_xlnm.Print_Titles" localSheetId="6">'OSR_Div 1_7H47HR'!$1:$10</definedName>
    <definedName name="_xlnm.Print_Titles" localSheetId="8">'OSR_Div 2_1PQ800A'!$1:$10</definedName>
    <definedName name="_xlnm.Print_Titles" localSheetId="7">'OSR_Div 3 (2)...4cb81c06_PBSMLS'!$1:$10</definedName>
    <definedName name="_xlnm.Print_Titles" localSheetId="10">'OSR_Div 3_18723PH'!$1:$10</definedName>
    <definedName name="_xlnm.Print_Titles" localSheetId="33">'OSR_Div 4 (2)...1a9a4454_CQFRNE'!$1:$10</definedName>
    <definedName name="_xlnm.Print_Titles" localSheetId="31">'OSR_Div 4 (2...2533da42_174R6QX'!$1:$10</definedName>
    <definedName name="_xlnm.Print_Titles" localSheetId="26">'OSR_Div 4_1740TMT'!$1:$10</definedName>
    <definedName name="_xlnm.Print_Titles" localSheetId="37">'OSR_Div 5 (2)...32d16c57_IVJ1QO'!$1:$10</definedName>
    <definedName name="_xlnm.Print_Titles" localSheetId="34">'OSR_Div 5_16NAZO2'!$1:$10</definedName>
    <definedName name="_xlnm.Print_Titles" localSheetId="36">'OSR_Div 6_P37YY7'!$1:$10</definedName>
    <definedName name="_xlnm.Print_Titles" localSheetId="92">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T34" i="95"/>
  <c r="Z34" i="95" s="1"/>
  <c r="P34" i="95"/>
  <c r="H34" i="95"/>
  <c r="N34" i="95" s="1"/>
  <c r="D34" i="95"/>
  <c r="T33" i="95"/>
  <c r="Z33" i="95" s="1"/>
  <c r="P33" i="95"/>
  <c r="H33" i="95"/>
  <c r="N33" i="95" s="1"/>
  <c r="D33" i="95"/>
  <c r="T29" i="95"/>
  <c r="Z29" i="95" s="1"/>
  <c r="P29" i="95"/>
  <c r="H29" i="95"/>
  <c r="N29" i="95" s="1"/>
  <c r="D29" i="95"/>
  <c r="T25" i="95"/>
  <c r="Z25" i="95" s="1"/>
  <c r="P25" i="95"/>
  <c r="H25" i="95"/>
  <c r="N25" i="95" s="1"/>
  <c r="D25" i="95"/>
  <c r="B25" i="95"/>
  <c r="T24" i="95"/>
  <c r="Z24" i="95" s="1"/>
  <c r="P24" i="95"/>
  <c r="H24" i="95"/>
  <c r="N24" i="95" s="1"/>
  <c r="D24" i="95"/>
  <c r="T22" i="95"/>
  <c r="Z22" i="95" s="1"/>
  <c r="P22" i="95"/>
  <c r="H22" i="95"/>
  <c r="N22" i="95" s="1"/>
  <c r="D22" i="95"/>
  <c r="B22" i="95"/>
  <c r="T21" i="95"/>
  <c r="Z21" i="95" s="1"/>
  <c r="P21" i="95"/>
  <c r="H21" i="95"/>
  <c r="D21" i="95"/>
  <c r="B21" i="95"/>
  <c r="T20" i="95"/>
  <c r="Z20" i="95" s="1"/>
  <c r="P20" i="95"/>
  <c r="H20" i="95"/>
  <c r="N20" i="95" s="1"/>
  <c r="D20" i="95"/>
  <c r="T16" i="95"/>
  <c r="Z16" i="95" s="1"/>
  <c r="P16" i="95"/>
  <c r="H16" i="95"/>
  <c r="N16" i="95" s="1"/>
  <c r="D16" i="95"/>
  <c r="B16" i="95"/>
  <c r="T15" i="95"/>
  <c r="Z15" i="95" s="1"/>
  <c r="P15" i="95"/>
  <c r="H15" i="95"/>
  <c r="N15" i="95" s="1"/>
  <c r="D15" i="95"/>
  <c r="T13" i="95"/>
  <c r="Z13" i="95" s="1"/>
  <c r="P13" i="95"/>
  <c r="H13" i="95"/>
  <c r="N13" i="95" s="1"/>
  <c r="D13" i="95"/>
  <c r="B13" i="95"/>
  <c r="T12" i="95"/>
  <c r="P12" i="95"/>
  <c r="R34" i="95" s="1"/>
  <c r="H12" i="95"/>
  <c r="J21" i="95" s="1"/>
  <c r="D12" i="95"/>
  <c r="F34" i="95" s="1"/>
  <c r="D6" i="95"/>
  <c r="D5" i="95"/>
  <c r="D4" i="95"/>
  <c r="B39" i="94"/>
  <c r="B38" i="94"/>
  <c r="T34" i="94"/>
  <c r="Z34" i="94" s="1"/>
  <c r="P34" i="94"/>
  <c r="H34" i="94"/>
  <c r="D34" i="94"/>
  <c r="T33" i="94"/>
  <c r="Z33" i="94" s="1"/>
  <c r="P33" i="94"/>
  <c r="H33" i="94"/>
  <c r="N33" i="94" s="1"/>
  <c r="D33" i="94"/>
  <c r="T29" i="94"/>
  <c r="Z29" i="94" s="1"/>
  <c r="P29" i="94"/>
  <c r="H29" i="94"/>
  <c r="N29" i="94" s="1"/>
  <c r="D29" i="94"/>
  <c r="T25" i="94"/>
  <c r="Z25" i="94" s="1"/>
  <c r="P25" i="94"/>
  <c r="H25" i="94"/>
  <c r="N25" i="94" s="1"/>
  <c r="D25" i="94"/>
  <c r="B25" i="94"/>
  <c r="T24" i="94"/>
  <c r="Z24" i="94" s="1"/>
  <c r="P24" i="94"/>
  <c r="H24" i="94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Z20" i="94" s="1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Z13" i="94" s="1"/>
  <c r="P13" i="94"/>
  <c r="H13" i="94"/>
  <c r="N13" i="94" s="1"/>
  <c r="D13" i="94"/>
  <c r="B13" i="94"/>
  <c r="T12" i="94"/>
  <c r="V16" i="94" s="1"/>
  <c r="P12" i="94"/>
  <c r="R36" i="94" s="1"/>
  <c r="H12" i="94"/>
  <c r="J34" i="94" s="1"/>
  <c r="D12" i="94"/>
  <c r="F33" i="94" s="1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Z22" i="93" s="1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N20" i="93" s="1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V36" i="93" s="1"/>
  <c r="P12" i="93"/>
  <c r="R21" i="93" s="1"/>
  <c r="H12" i="93"/>
  <c r="J16" i="93" s="1"/>
  <c r="D12" i="93"/>
  <c r="F36" i="93" s="1"/>
  <c r="D6" i="93"/>
  <c r="D5" i="93"/>
  <c r="D4" i="93"/>
  <c r="X77" i="92"/>
  <c r="Z77" i="92" s="1"/>
  <c r="L77" i="92"/>
  <c r="N77" i="92" s="1"/>
  <c r="X73" i="92"/>
  <c r="Z73" i="92" s="1"/>
  <c r="P73" i="92"/>
  <c r="P72" i="92" s="1"/>
  <c r="X72" i="92" s="1"/>
  <c r="Z72" i="92" s="1"/>
  <c r="D73" i="92"/>
  <c r="B73" i="92"/>
  <c r="T72" i="92"/>
  <c r="R72" i="92"/>
  <c r="H72" i="92"/>
  <c r="Z70" i="92"/>
  <c r="X70" i="92"/>
  <c r="N70" i="92"/>
  <c r="L70" i="92"/>
  <c r="B70" i="92"/>
  <c r="T69" i="92"/>
  <c r="P69" i="92"/>
  <c r="X69" i="92" s="1"/>
  <c r="H69" i="92"/>
  <c r="D69" i="92"/>
  <c r="B69" i="92"/>
  <c r="Z68" i="92"/>
  <c r="X68" i="92"/>
  <c r="N68" i="92"/>
  <c r="L68" i="92"/>
  <c r="B68" i="92"/>
  <c r="T67" i="92"/>
  <c r="P67" i="92"/>
  <c r="H67" i="92"/>
  <c r="D67" i="92"/>
  <c r="L67" i="92" s="1"/>
  <c r="N67" i="92" s="1"/>
  <c r="B67" i="92"/>
  <c r="Z66" i="92"/>
  <c r="X66" i="92"/>
  <c r="N66" i="92"/>
  <c r="L66" i="92"/>
  <c r="B66" i="92"/>
  <c r="Z65" i="92"/>
  <c r="X65" i="92"/>
  <c r="N65" i="92"/>
  <c r="L65" i="92"/>
  <c r="B65" i="92"/>
  <c r="Z64" i="92"/>
  <c r="X64" i="92"/>
  <c r="N64" i="92"/>
  <c r="L64" i="92"/>
  <c r="B64" i="92"/>
  <c r="X63" i="92"/>
  <c r="T63" i="92"/>
  <c r="P63" i="92"/>
  <c r="H63" i="92"/>
  <c r="D63" i="92"/>
  <c r="L63" i="92" s="1"/>
  <c r="N63" i="92" s="1"/>
  <c r="B63" i="92"/>
  <c r="X62" i="92"/>
  <c r="Z62" i="92" s="1"/>
  <c r="N62" i="92"/>
  <c r="L62" i="92"/>
  <c r="B62" i="92"/>
  <c r="T61" i="92"/>
  <c r="P61" i="92"/>
  <c r="H61" i="92"/>
  <c r="D61" i="92"/>
  <c r="L61" i="92" s="1"/>
  <c r="B61" i="92"/>
  <c r="Z60" i="92"/>
  <c r="X60" i="92"/>
  <c r="N60" i="92"/>
  <c r="L60" i="92"/>
  <c r="B60" i="92"/>
  <c r="X59" i="92"/>
  <c r="Z59" i="92" s="1"/>
  <c r="V59" i="92"/>
  <c r="L59" i="92"/>
  <c r="N59" i="92" s="1"/>
  <c r="B59" i="92"/>
  <c r="Z58" i="92"/>
  <c r="X58" i="92"/>
  <c r="V58" i="92"/>
  <c r="N58" i="92"/>
  <c r="L58" i="92"/>
  <c r="B58" i="92"/>
  <c r="T57" i="92"/>
  <c r="P57" i="92"/>
  <c r="X57" i="92" s="1"/>
  <c r="L57" i="92"/>
  <c r="H57" i="92"/>
  <c r="D57" i="92"/>
  <c r="B57" i="92"/>
  <c r="Z56" i="92"/>
  <c r="X56" i="92"/>
  <c r="V56" i="92"/>
  <c r="R56" i="92"/>
  <c r="N56" i="92"/>
  <c r="L56" i="92"/>
  <c r="B56" i="92"/>
  <c r="T55" i="92"/>
  <c r="P55" i="92"/>
  <c r="H55" i="92"/>
  <c r="D55" i="92"/>
  <c r="L55" i="92" s="1"/>
  <c r="B55" i="92"/>
  <c r="Z54" i="92"/>
  <c r="X54" i="92"/>
  <c r="V54" i="92"/>
  <c r="L54" i="92"/>
  <c r="N54" i="92" s="1"/>
  <c r="B54" i="92"/>
  <c r="X53" i="92"/>
  <c r="T53" i="92"/>
  <c r="R53" i="92"/>
  <c r="P53" i="92"/>
  <c r="H53" i="92"/>
  <c r="D53" i="92"/>
  <c r="B53" i="92"/>
  <c r="Z52" i="92"/>
  <c r="X52" i="92"/>
  <c r="V52" i="92"/>
  <c r="N52" i="92"/>
  <c r="L52" i="92"/>
  <c r="B52" i="92"/>
  <c r="X51" i="92"/>
  <c r="T51" i="92"/>
  <c r="P51" i="92"/>
  <c r="N51" i="92"/>
  <c r="H51" i="92"/>
  <c r="L51" i="92" s="1"/>
  <c r="D51" i="92"/>
  <c r="B51" i="92"/>
  <c r="Z50" i="92"/>
  <c r="X50" i="92"/>
  <c r="V50" i="92"/>
  <c r="N50" i="92"/>
  <c r="L50" i="92"/>
  <c r="B50" i="92"/>
  <c r="Z49" i="92"/>
  <c r="X49" i="92"/>
  <c r="N49" i="92"/>
  <c r="L49" i="92"/>
  <c r="B49" i="92"/>
  <c r="T48" i="92"/>
  <c r="P48" i="92"/>
  <c r="X48" i="92" s="1"/>
  <c r="Z48" i="92" s="1"/>
  <c r="N48" i="92"/>
  <c r="L48" i="92"/>
  <c r="H48" i="92"/>
  <c r="D48" i="92"/>
  <c r="B48" i="92"/>
  <c r="X47" i="92"/>
  <c r="Z47" i="92" s="1"/>
  <c r="V47" i="92"/>
  <c r="L47" i="92"/>
  <c r="N47" i="92" s="1"/>
  <c r="B47" i="92"/>
  <c r="V46" i="92"/>
  <c r="T46" i="92"/>
  <c r="P46" i="92"/>
  <c r="X46" i="92" s="1"/>
  <c r="Z46" i="92" s="1"/>
  <c r="H46" i="92"/>
  <c r="D46" i="92"/>
  <c r="B46" i="92"/>
  <c r="X45" i="92"/>
  <c r="Z45" i="92" s="1"/>
  <c r="L45" i="92"/>
  <c r="N45" i="92" s="1"/>
  <c r="B45" i="92"/>
  <c r="Z44" i="92"/>
  <c r="X44" i="92"/>
  <c r="T44" i="92"/>
  <c r="P44" i="92"/>
  <c r="L44" i="92"/>
  <c r="N44" i="92" s="1"/>
  <c r="H44" i="92"/>
  <c r="D44" i="92"/>
  <c r="B44" i="92"/>
  <c r="X43" i="92"/>
  <c r="Z43" i="92" s="1"/>
  <c r="R43" i="92"/>
  <c r="N43" i="92"/>
  <c r="L43" i="92"/>
  <c r="B43" i="92"/>
  <c r="T42" i="92"/>
  <c r="V42" i="92" s="1"/>
  <c r="P42" i="92"/>
  <c r="X42" i="92" s="1"/>
  <c r="Z42" i="92" s="1"/>
  <c r="J42" i="92"/>
  <c r="H42" i="92"/>
  <c r="D42" i="92"/>
  <c r="L42" i="92" s="1"/>
  <c r="B42" i="92"/>
  <c r="Z41" i="92"/>
  <c r="X41" i="92"/>
  <c r="R41" i="92"/>
  <c r="N41" i="92"/>
  <c r="L41" i="92"/>
  <c r="B41" i="92"/>
  <c r="Z40" i="92"/>
  <c r="X40" i="92"/>
  <c r="V40" i="92"/>
  <c r="N40" i="92"/>
  <c r="L40" i="92"/>
  <c r="B40" i="92"/>
  <c r="X39" i="92"/>
  <c r="Z39" i="92" s="1"/>
  <c r="R39" i="92"/>
  <c r="N39" i="92"/>
  <c r="L39" i="92"/>
  <c r="B39" i="92"/>
  <c r="Z38" i="92"/>
  <c r="X38" i="92"/>
  <c r="V38" i="92"/>
  <c r="R38" i="92"/>
  <c r="N38" i="92"/>
  <c r="L38" i="92"/>
  <c r="B38" i="92"/>
  <c r="Z37" i="92"/>
  <c r="X37" i="92"/>
  <c r="V37" i="92"/>
  <c r="N37" i="92"/>
  <c r="L37" i="92"/>
  <c r="B37" i="92"/>
  <c r="Z36" i="92"/>
  <c r="X36" i="92"/>
  <c r="N36" i="92"/>
  <c r="L36" i="92"/>
  <c r="B36" i="92"/>
  <c r="Z35" i="92"/>
  <c r="X35" i="92"/>
  <c r="L35" i="92"/>
  <c r="N35" i="92" s="1"/>
  <c r="B35" i="92"/>
  <c r="Z34" i="92"/>
  <c r="X34" i="92"/>
  <c r="N34" i="92"/>
  <c r="L34" i="92"/>
  <c r="J34" i="92"/>
  <c r="B34" i="92"/>
  <c r="Z33" i="92"/>
  <c r="X33" i="92"/>
  <c r="R33" i="92"/>
  <c r="L33" i="92"/>
  <c r="N33" i="92" s="1"/>
  <c r="B33" i="92"/>
  <c r="X32" i="92"/>
  <c r="Z32" i="92" s="1"/>
  <c r="V32" i="92"/>
  <c r="L32" i="92"/>
  <c r="N32" i="92" s="1"/>
  <c r="B32" i="92"/>
  <c r="X31" i="92"/>
  <c r="T31" i="92"/>
  <c r="R31" i="92"/>
  <c r="P31" i="92"/>
  <c r="H31" i="92"/>
  <c r="D31" i="92"/>
  <c r="L31" i="92" s="1"/>
  <c r="B31" i="92"/>
  <c r="Z30" i="92"/>
  <c r="X30" i="92"/>
  <c r="N30" i="92"/>
  <c r="L30" i="92"/>
  <c r="B30" i="92"/>
  <c r="Z29" i="92"/>
  <c r="X29" i="92"/>
  <c r="R29" i="92"/>
  <c r="L29" i="92"/>
  <c r="N29" i="92" s="1"/>
  <c r="J29" i="92"/>
  <c r="B29" i="92"/>
  <c r="X28" i="92"/>
  <c r="Z28" i="92" s="1"/>
  <c r="V28" i="92"/>
  <c r="N28" i="92"/>
  <c r="L28" i="92"/>
  <c r="B28" i="92"/>
  <c r="Z27" i="92"/>
  <c r="X27" i="92"/>
  <c r="R27" i="92"/>
  <c r="N27" i="92"/>
  <c r="L27" i="92"/>
  <c r="B27" i="92"/>
  <c r="Z26" i="92"/>
  <c r="X26" i="92"/>
  <c r="V26" i="92"/>
  <c r="R26" i="92"/>
  <c r="N26" i="92"/>
  <c r="L26" i="92"/>
  <c r="B26" i="92"/>
  <c r="X25" i="92"/>
  <c r="Z25" i="92" s="1"/>
  <c r="V25" i="92"/>
  <c r="N25" i="92"/>
  <c r="L25" i="92"/>
  <c r="B25" i="92"/>
  <c r="X24" i="92"/>
  <c r="Z24" i="92" s="1"/>
  <c r="L24" i="92"/>
  <c r="N24" i="92" s="1"/>
  <c r="B24" i="92"/>
  <c r="Z23" i="92"/>
  <c r="X23" i="92"/>
  <c r="L23" i="92"/>
  <c r="N23" i="92" s="1"/>
  <c r="B23" i="92"/>
  <c r="X22" i="92"/>
  <c r="Z22" i="92" s="1"/>
  <c r="N22" i="92"/>
  <c r="L22" i="92"/>
  <c r="B22" i="92"/>
  <c r="Z21" i="92"/>
  <c r="X21" i="92"/>
  <c r="R21" i="92"/>
  <c r="L21" i="92"/>
  <c r="N21" i="92" s="1"/>
  <c r="J21" i="92"/>
  <c r="B21" i="92"/>
  <c r="V20" i="92"/>
  <c r="T20" i="92"/>
  <c r="P20" i="92"/>
  <c r="H20" i="92"/>
  <c r="D20" i="92"/>
  <c r="B20" i="92"/>
  <c r="T19" i="92" a="1"/>
  <c r="T19" i="92" s="1"/>
  <c r="P19" i="92" a="1"/>
  <c r="P19" i="92"/>
  <c r="H19" i="92" a="1"/>
  <c r="H19" i="92" s="1"/>
  <c r="D19" i="92" a="1"/>
  <c r="D19" i="92"/>
  <c r="P17" i="92"/>
  <c r="X15" i="92"/>
  <c r="T15" i="92"/>
  <c r="R15" i="92"/>
  <c r="P15" i="92"/>
  <c r="H15" i="92"/>
  <c r="N15" i="92" s="1"/>
  <c r="D15" i="92"/>
  <c r="L15" i="92" s="1"/>
  <c r="Z13" i="92"/>
  <c r="X13" i="92"/>
  <c r="P13" i="92"/>
  <c r="D13" i="92"/>
  <c r="B13" i="92"/>
  <c r="X12" i="92"/>
  <c r="Z12" i="92" s="1"/>
  <c r="T12" i="92"/>
  <c r="V44" i="92" s="1"/>
  <c r="P12" i="92"/>
  <c r="R45" i="92" s="1"/>
  <c r="H12" i="92"/>
  <c r="J41" i="92" s="1"/>
  <c r="D6" i="92"/>
  <c r="D4" i="92"/>
  <c r="Z94" i="91"/>
  <c r="X94" i="91"/>
  <c r="N94" i="91"/>
  <c r="L94" i="91"/>
  <c r="T90" i="91"/>
  <c r="P90" i="91"/>
  <c r="H90" i="91"/>
  <c r="N90" i="91" s="1"/>
  <c r="D90" i="91"/>
  <c r="L90" i="91" s="1"/>
  <c r="Z88" i="91"/>
  <c r="X88" i="91"/>
  <c r="N88" i="91"/>
  <c r="L88" i="91"/>
  <c r="B88" i="91"/>
  <c r="T87" i="91"/>
  <c r="Z87" i="91" s="1"/>
  <c r="P87" i="91"/>
  <c r="X87" i="91" s="1"/>
  <c r="N87" i="91"/>
  <c r="H87" i="91"/>
  <c r="D87" i="91"/>
  <c r="L87" i="91" s="1"/>
  <c r="B87" i="91"/>
  <c r="X86" i="91"/>
  <c r="Z86" i="91" s="1"/>
  <c r="N86" i="91"/>
  <c r="L86" i="91"/>
  <c r="J86" i="91"/>
  <c r="B86" i="91"/>
  <c r="T85" i="91"/>
  <c r="P85" i="91"/>
  <c r="X85" i="91" s="1"/>
  <c r="Z85" i="91" s="1"/>
  <c r="L85" i="91"/>
  <c r="N85" i="91" s="1"/>
  <c r="H85" i="91"/>
  <c r="D85" i="91"/>
  <c r="B85" i="91"/>
  <c r="Z84" i="91"/>
  <c r="X84" i="91"/>
  <c r="N84" i="91"/>
  <c r="L84" i="91"/>
  <c r="B84" i="91"/>
  <c r="X83" i="91"/>
  <c r="Z83" i="91" s="1"/>
  <c r="T83" i="91"/>
  <c r="P83" i="91"/>
  <c r="L83" i="91"/>
  <c r="H83" i="91"/>
  <c r="D83" i="91"/>
  <c r="B83" i="91"/>
  <c r="Z82" i="91"/>
  <c r="X82" i="91"/>
  <c r="N82" i="91"/>
  <c r="L82" i="91"/>
  <c r="B82" i="91"/>
  <c r="Z81" i="91"/>
  <c r="X81" i="91"/>
  <c r="N81" i="91"/>
  <c r="L81" i="91"/>
  <c r="B81" i="91"/>
  <c r="Z80" i="91"/>
  <c r="X80" i="91"/>
  <c r="V80" i="91"/>
  <c r="N80" i="91"/>
  <c r="L80" i="91"/>
  <c r="B80" i="91"/>
  <c r="X79" i="91"/>
  <c r="Z79" i="91" s="1"/>
  <c r="L79" i="91"/>
  <c r="N79" i="91" s="1"/>
  <c r="B79" i="91"/>
  <c r="X78" i="91"/>
  <c r="Z78" i="91" s="1"/>
  <c r="N78" i="91"/>
  <c r="L78" i="91"/>
  <c r="B78" i="91"/>
  <c r="Z77" i="91"/>
  <c r="X77" i="91"/>
  <c r="N77" i="91"/>
  <c r="L77" i="91"/>
  <c r="B77" i="91"/>
  <c r="X76" i="91"/>
  <c r="Z76" i="91" s="1"/>
  <c r="N76" i="91"/>
  <c r="L76" i="91"/>
  <c r="J76" i="91"/>
  <c r="B76" i="91"/>
  <c r="T75" i="91"/>
  <c r="P75" i="91"/>
  <c r="X75" i="91" s="1"/>
  <c r="H75" i="91"/>
  <c r="D75" i="91"/>
  <c r="L75" i="91" s="1"/>
  <c r="N75" i="91" s="1"/>
  <c r="B75" i="91"/>
  <c r="X74" i="91"/>
  <c r="Z74" i="91" s="1"/>
  <c r="N74" i="91"/>
  <c r="L74" i="91"/>
  <c r="B74" i="91"/>
  <c r="Z73" i="91"/>
  <c r="X73" i="91"/>
  <c r="L73" i="91"/>
  <c r="N73" i="91" s="1"/>
  <c r="B73" i="91"/>
  <c r="Z72" i="91"/>
  <c r="X72" i="91"/>
  <c r="N72" i="91"/>
  <c r="L72" i="91"/>
  <c r="J72" i="91"/>
  <c r="B72" i="91"/>
  <c r="X71" i="91"/>
  <c r="Z71" i="91" s="1"/>
  <c r="L71" i="91"/>
  <c r="N71" i="91" s="1"/>
  <c r="J71" i="91"/>
  <c r="B71" i="91"/>
  <c r="V70" i="91"/>
  <c r="T70" i="91"/>
  <c r="P70" i="91"/>
  <c r="X70" i="91" s="1"/>
  <c r="H70" i="91"/>
  <c r="D70" i="91"/>
  <c r="L70" i="91" s="1"/>
  <c r="N70" i="91" s="1"/>
  <c r="B70" i="91"/>
  <c r="Z69" i="91"/>
  <c r="X69" i="91"/>
  <c r="L69" i="91"/>
  <c r="N69" i="91" s="1"/>
  <c r="B69" i="91"/>
  <c r="Z68" i="91"/>
  <c r="X68" i="91"/>
  <c r="N68" i="91"/>
  <c r="L68" i="91"/>
  <c r="B68" i="91"/>
  <c r="Z67" i="91"/>
  <c r="X67" i="91"/>
  <c r="N67" i="91"/>
  <c r="L67" i="91"/>
  <c r="B67" i="91"/>
  <c r="T66" i="91"/>
  <c r="Z66" i="91" s="1"/>
  <c r="P66" i="91"/>
  <c r="X66" i="91" s="1"/>
  <c r="H66" i="91"/>
  <c r="D66" i="91"/>
  <c r="L66" i="91" s="1"/>
  <c r="N66" i="91" s="1"/>
  <c r="B66" i="91"/>
  <c r="Z65" i="91"/>
  <c r="X65" i="91"/>
  <c r="L65" i="91"/>
  <c r="N65" i="91" s="1"/>
  <c r="B65" i="91"/>
  <c r="T64" i="91"/>
  <c r="P64" i="91"/>
  <c r="X64" i="91" s="1"/>
  <c r="Z64" i="91" s="1"/>
  <c r="L64" i="91"/>
  <c r="N64" i="91" s="1"/>
  <c r="H64" i="91"/>
  <c r="D64" i="91"/>
  <c r="B64" i="91"/>
  <c r="X63" i="91"/>
  <c r="Z63" i="91" s="1"/>
  <c r="L63" i="91"/>
  <c r="N63" i="91" s="1"/>
  <c r="B63" i="91"/>
  <c r="X62" i="91"/>
  <c r="Z62" i="91" s="1"/>
  <c r="T62" i="91"/>
  <c r="P62" i="91"/>
  <c r="N62" i="91"/>
  <c r="H62" i="91"/>
  <c r="L62" i="91" s="1"/>
  <c r="D62" i="91"/>
  <c r="B62" i="91"/>
  <c r="X61" i="91"/>
  <c r="Z61" i="91" s="1"/>
  <c r="N61" i="91"/>
  <c r="L61" i="91"/>
  <c r="B61" i="91"/>
  <c r="Z60" i="91"/>
  <c r="V60" i="91"/>
  <c r="T60" i="91"/>
  <c r="X60" i="91" s="1"/>
  <c r="P60" i="91"/>
  <c r="J60" i="91"/>
  <c r="H60" i="91"/>
  <c r="N60" i="91" s="1"/>
  <c r="D60" i="91"/>
  <c r="L60" i="91" s="1"/>
  <c r="B60" i="91"/>
  <c r="X59" i="91"/>
  <c r="Z59" i="91" s="1"/>
  <c r="L59" i="91"/>
  <c r="N59" i="91" s="1"/>
  <c r="B59" i="91"/>
  <c r="V58" i="91"/>
  <c r="T58" i="91"/>
  <c r="P58" i="91"/>
  <c r="X58" i="91" s="1"/>
  <c r="H58" i="91"/>
  <c r="D58" i="91"/>
  <c r="L58" i="91" s="1"/>
  <c r="N58" i="91" s="1"/>
  <c r="B58" i="91"/>
  <c r="X57" i="91"/>
  <c r="Z57" i="91" s="1"/>
  <c r="L57" i="91"/>
  <c r="N57" i="91" s="1"/>
  <c r="J57" i="91"/>
  <c r="B57" i="91"/>
  <c r="Z56" i="91"/>
  <c r="T56" i="91"/>
  <c r="P56" i="91"/>
  <c r="X56" i="91" s="1"/>
  <c r="L56" i="91"/>
  <c r="N56" i="91" s="1"/>
  <c r="H56" i="91"/>
  <c r="D56" i="91"/>
  <c r="B56" i="91"/>
  <c r="X55" i="91"/>
  <c r="Z55" i="91" s="1"/>
  <c r="V55" i="91"/>
  <c r="L55" i="91"/>
  <c r="N55" i="91" s="1"/>
  <c r="B55" i="91"/>
  <c r="Z54" i="91"/>
  <c r="X54" i="91"/>
  <c r="T54" i="91"/>
  <c r="P54" i="91"/>
  <c r="H54" i="91"/>
  <c r="D54" i="91"/>
  <c r="B54" i="91"/>
  <c r="X53" i="91"/>
  <c r="Z53" i="91" s="1"/>
  <c r="L53" i="91"/>
  <c r="N53" i="91" s="1"/>
  <c r="B53" i="91"/>
  <c r="X52" i="91"/>
  <c r="Z52" i="91" s="1"/>
  <c r="V52" i="91"/>
  <c r="T52" i="91"/>
  <c r="P52" i="91"/>
  <c r="J52" i="91"/>
  <c r="H52" i="91"/>
  <c r="D52" i="91"/>
  <c r="L52" i="91" s="1"/>
  <c r="B52" i="91"/>
  <c r="X51" i="91"/>
  <c r="Z51" i="91" s="1"/>
  <c r="N51" i="91"/>
  <c r="L51" i="91"/>
  <c r="B51" i="91"/>
  <c r="V50" i="91"/>
  <c r="T50" i="91"/>
  <c r="P50" i="91"/>
  <c r="X50" i="91" s="1"/>
  <c r="N50" i="91"/>
  <c r="H50" i="91"/>
  <c r="D50" i="91"/>
  <c r="L50" i="91" s="1"/>
  <c r="B50" i="91"/>
  <c r="X49" i="91"/>
  <c r="Z49" i="91" s="1"/>
  <c r="L49" i="91"/>
  <c r="N49" i="91" s="1"/>
  <c r="J49" i="91"/>
  <c r="B49" i="91"/>
  <c r="T48" i="91"/>
  <c r="P48" i="91"/>
  <c r="X48" i="91" s="1"/>
  <c r="Z48" i="91" s="1"/>
  <c r="N48" i="91"/>
  <c r="L48" i="91"/>
  <c r="H48" i="91"/>
  <c r="D48" i="91"/>
  <c r="B48" i="91"/>
  <c r="Z47" i="91"/>
  <c r="X47" i="91"/>
  <c r="V47" i="91"/>
  <c r="N47" i="91"/>
  <c r="L47" i="91"/>
  <c r="B47" i="91"/>
  <c r="Z46" i="91"/>
  <c r="X46" i="91"/>
  <c r="V46" i="91"/>
  <c r="N46" i="91"/>
  <c r="L46" i="91"/>
  <c r="B46" i="91"/>
  <c r="X45" i="91"/>
  <c r="Z45" i="91" s="1"/>
  <c r="L45" i="91"/>
  <c r="N45" i="91" s="1"/>
  <c r="B45" i="91"/>
  <c r="Z44" i="91"/>
  <c r="X44" i="91"/>
  <c r="V44" i="91"/>
  <c r="N44" i="91"/>
  <c r="L44" i="91"/>
  <c r="B44" i="91"/>
  <c r="Z43" i="91"/>
  <c r="X43" i="91"/>
  <c r="N43" i="91"/>
  <c r="L43" i="91"/>
  <c r="B43" i="91"/>
  <c r="Z42" i="91"/>
  <c r="X42" i="91"/>
  <c r="V42" i="91"/>
  <c r="N42" i="91"/>
  <c r="L42" i="91"/>
  <c r="B42" i="91"/>
  <c r="X41" i="91"/>
  <c r="Z41" i="91" s="1"/>
  <c r="V41" i="91"/>
  <c r="N41" i="91"/>
  <c r="L41" i="91"/>
  <c r="B41" i="91"/>
  <c r="Z40" i="91"/>
  <c r="X40" i="91"/>
  <c r="V40" i="91"/>
  <c r="N40" i="91"/>
  <c r="L40" i="91"/>
  <c r="J40" i="91"/>
  <c r="B40" i="91"/>
  <c r="X39" i="91"/>
  <c r="Z39" i="91" s="1"/>
  <c r="V39" i="91"/>
  <c r="L39" i="91"/>
  <c r="N39" i="91" s="1"/>
  <c r="J39" i="91"/>
  <c r="B39" i="91"/>
  <c r="Z38" i="91"/>
  <c r="X38" i="91"/>
  <c r="N38" i="91"/>
  <c r="L38" i="91"/>
  <c r="B38" i="91"/>
  <c r="Z37" i="91"/>
  <c r="T37" i="91"/>
  <c r="P37" i="91"/>
  <c r="X37" i="91" s="1"/>
  <c r="L37" i="91"/>
  <c r="N37" i="91" s="1"/>
  <c r="J37" i="91"/>
  <c r="H37" i="91"/>
  <c r="D37" i="91"/>
  <c r="B37" i="91"/>
  <c r="X36" i="91"/>
  <c r="Z36" i="91" s="1"/>
  <c r="V36" i="91"/>
  <c r="L36" i="91"/>
  <c r="N36" i="91" s="1"/>
  <c r="J36" i="91"/>
  <c r="B36" i="91"/>
  <c r="X35" i="91"/>
  <c r="Z35" i="91" s="1"/>
  <c r="V35" i="91"/>
  <c r="L35" i="91"/>
  <c r="N35" i="91" s="1"/>
  <c r="J35" i="91"/>
  <c r="B35" i="91"/>
  <c r="Z34" i="91"/>
  <c r="X34" i="91"/>
  <c r="L34" i="91"/>
  <c r="N34" i="91" s="1"/>
  <c r="B34" i="91"/>
  <c r="Z33" i="91"/>
  <c r="X33" i="91"/>
  <c r="N33" i="91"/>
  <c r="L33" i="91"/>
  <c r="J33" i="91"/>
  <c r="B33" i="91"/>
  <c r="Z32" i="91"/>
  <c r="X32" i="91"/>
  <c r="V32" i="91"/>
  <c r="N32" i="91"/>
  <c r="L32" i="91"/>
  <c r="J32" i="91"/>
  <c r="B32" i="91"/>
  <c r="X31" i="91"/>
  <c r="Z31" i="91" s="1"/>
  <c r="V31" i="91"/>
  <c r="L31" i="91"/>
  <c r="N31" i="91" s="1"/>
  <c r="J31" i="91"/>
  <c r="B31" i="91"/>
  <c r="X30" i="91"/>
  <c r="Z30" i="91" s="1"/>
  <c r="N30" i="91"/>
  <c r="L30" i="91"/>
  <c r="B30" i="91"/>
  <c r="Z29" i="91"/>
  <c r="X29" i="91"/>
  <c r="V29" i="91"/>
  <c r="N29" i="91"/>
  <c r="L29" i="91"/>
  <c r="B29" i="91"/>
  <c r="X28" i="91"/>
  <c r="Z28" i="91" s="1"/>
  <c r="V28" i="91"/>
  <c r="L28" i="91"/>
  <c r="N28" i="91" s="1"/>
  <c r="J28" i="91"/>
  <c r="B28" i="91"/>
  <c r="X27" i="91"/>
  <c r="Z27" i="91" s="1"/>
  <c r="V27" i="91"/>
  <c r="L27" i="91"/>
  <c r="N27" i="91" s="1"/>
  <c r="J27" i="91"/>
  <c r="B27" i="91"/>
  <c r="T26" i="91"/>
  <c r="P26" i="91"/>
  <c r="X26" i="91" s="1"/>
  <c r="Z26" i="91" s="1"/>
  <c r="H26" i="91"/>
  <c r="D26" i="91"/>
  <c r="B26" i="91"/>
  <c r="T25" i="91" a="1"/>
  <c r="T25" i="91"/>
  <c r="P25" i="91" a="1"/>
  <c r="P25" i="91"/>
  <c r="X25" i="91" s="1"/>
  <c r="H25" i="91" a="1"/>
  <c r="H25" i="91" s="1"/>
  <c r="J25" i="91" s="1"/>
  <c r="D25" i="91" a="1"/>
  <c r="D25" i="91"/>
  <c r="T23" i="91"/>
  <c r="Z21" i="91"/>
  <c r="X21" i="91"/>
  <c r="V21" i="91"/>
  <c r="N21" i="91"/>
  <c r="L21" i="91"/>
  <c r="J21" i="91"/>
  <c r="B21" i="91"/>
  <c r="Z20" i="91"/>
  <c r="X20" i="91"/>
  <c r="V20" i="91"/>
  <c r="N20" i="91"/>
  <c r="L20" i="91"/>
  <c r="J20" i="91"/>
  <c r="B20" i="91"/>
  <c r="X19" i="91"/>
  <c r="Z19" i="91" s="1"/>
  <c r="V19" i="91"/>
  <c r="L19" i="91"/>
  <c r="N19" i="91" s="1"/>
  <c r="J19" i="91"/>
  <c r="B19" i="91"/>
  <c r="X18" i="91"/>
  <c r="T18" i="91"/>
  <c r="P18" i="91"/>
  <c r="H18" i="91"/>
  <c r="D18" i="91"/>
  <c r="L18" i="91" s="1"/>
  <c r="Z16" i="91"/>
  <c r="X16" i="91"/>
  <c r="P16" i="91"/>
  <c r="N16" i="91"/>
  <c r="D16" i="91"/>
  <c r="L16" i="91" s="1"/>
  <c r="B16" i="91"/>
  <c r="Z15" i="91"/>
  <c r="X15" i="91"/>
  <c r="P15" i="91"/>
  <c r="N15" i="91"/>
  <c r="D15" i="91"/>
  <c r="L15" i="91" s="1"/>
  <c r="B15" i="91"/>
  <c r="X14" i="91"/>
  <c r="Z14" i="91" s="1"/>
  <c r="P14" i="91"/>
  <c r="D14" i="91"/>
  <c r="L14" i="91" s="1"/>
  <c r="N14" i="91" s="1"/>
  <c r="B14" i="91"/>
  <c r="Z13" i="91"/>
  <c r="P13" i="91"/>
  <c r="X13" i="91" s="1"/>
  <c r="N13" i="91"/>
  <c r="L13" i="91"/>
  <c r="D13" i="91"/>
  <c r="B13" i="91"/>
  <c r="T12" i="91"/>
  <c r="H12" i="91"/>
  <c r="D6" i="91"/>
  <c r="D4" i="91"/>
  <c r="X95" i="90"/>
  <c r="Z95" i="90" s="1"/>
  <c r="L95" i="90"/>
  <c r="N95" i="90" s="1"/>
  <c r="T91" i="90"/>
  <c r="Z91" i="90" s="1"/>
  <c r="P91" i="90"/>
  <c r="N91" i="90"/>
  <c r="L91" i="90"/>
  <c r="H91" i="90"/>
  <c r="D91" i="90"/>
  <c r="X89" i="90"/>
  <c r="Z89" i="90" s="1"/>
  <c r="L89" i="90"/>
  <c r="N89" i="90" s="1"/>
  <c r="B89" i="90"/>
  <c r="Z88" i="90"/>
  <c r="X88" i="90"/>
  <c r="T88" i="90"/>
  <c r="P88" i="90"/>
  <c r="J88" i="90"/>
  <c r="H88" i="90"/>
  <c r="D88" i="90"/>
  <c r="B88" i="90"/>
  <c r="X87" i="90"/>
  <c r="Z87" i="90" s="1"/>
  <c r="L87" i="90"/>
  <c r="N87" i="90" s="1"/>
  <c r="B87" i="90"/>
  <c r="Z86" i="90"/>
  <c r="T86" i="90"/>
  <c r="X86" i="90" s="1"/>
  <c r="P86" i="90"/>
  <c r="L86" i="90"/>
  <c r="N86" i="90" s="1"/>
  <c r="J86" i="90"/>
  <c r="H86" i="90"/>
  <c r="D86" i="90"/>
  <c r="B86" i="90"/>
  <c r="X85" i="90"/>
  <c r="Z85" i="90" s="1"/>
  <c r="L85" i="90"/>
  <c r="N85" i="90" s="1"/>
  <c r="J85" i="90"/>
  <c r="B85" i="90"/>
  <c r="Z84" i="90"/>
  <c r="X84" i="90"/>
  <c r="N84" i="90"/>
  <c r="L84" i="90"/>
  <c r="J84" i="90"/>
  <c r="B84" i="90"/>
  <c r="Z83" i="90"/>
  <c r="X83" i="90"/>
  <c r="N83" i="90"/>
  <c r="L83" i="90"/>
  <c r="B83" i="90"/>
  <c r="Z82" i="90"/>
  <c r="X82" i="90"/>
  <c r="N82" i="90"/>
  <c r="L82" i="90"/>
  <c r="J82" i="90"/>
  <c r="B82" i="90"/>
  <c r="X81" i="90"/>
  <c r="Z81" i="90" s="1"/>
  <c r="L81" i="90"/>
  <c r="N81" i="90" s="1"/>
  <c r="B81" i="90"/>
  <c r="Z80" i="90"/>
  <c r="X80" i="90"/>
  <c r="L80" i="90"/>
  <c r="N80" i="90" s="1"/>
  <c r="B80" i="90"/>
  <c r="Z79" i="90"/>
  <c r="X79" i="90"/>
  <c r="L79" i="90"/>
  <c r="N79" i="90" s="1"/>
  <c r="B79" i="90"/>
  <c r="Z78" i="90"/>
  <c r="X78" i="90"/>
  <c r="N78" i="90"/>
  <c r="L78" i="90"/>
  <c r="J78" i="90"/>
  <c r="B78" i="90"/>
  <c r="Z77" i="90"/>
  <c r="X77" i="90"/>
  <c r="N77" i="90"/>
  <c r="L77" i="90"/>
  <c r="B77" i="90"/>
  <c r="T76" i="90"/>
  <c r="P76" i="90"/>
  <c r="X76" i="90" s="1"/>
  <c r="Z76" i="90" s="1"/>
  <c r="J76" i="90"/>
  <c r="H76" i="90"/>
  <c r="D76" i="90"/>
  <c r="B76" i="90"/>
  <c r="Z75" i="90"/>
  <c r="X75" i="90"/>
  <c r="N75" i="90"/>
  <c r="L75" i="90"/>
  <c r="B75" i="90"/>
  <c r="T74" i="90"/>
  <c r="P74" i="90"/>
  <c r="X74" i="90" s="1"/>
  <c r="Z74" i="90" s="1"/>
  <c r="N74" i="90"/>
  <c r="H74" i="90"/>
  <c r="D74" i="90"/>
  <c r="L74" i="90" s="1"/>
  <c r="B74" i="90"/>
  <c r="X73" i="90"/>
  <c r="Z73" i="90" s="1"/>
  <c r="L73" i="90"/>
  <c r="N73" i="90" s="1"/>
  <c r="B73" i="90"/>
  <c r="Z72" i="90"/>
  <c r="X72" i="90"/>
  <c r="L72" i="90"/>
  <c r="N72" i="90" s="1"/>
  <c r="B72" i="90"/>
  <c r="X71" i="90"/>
  <c r="Z71" i="90" s="1"/>
  <c r="N71" i="90"/>
  <c r="L71" i="90"/>
  <c r="B71" i="90"/>
  <c r="Z70" i="90"/>
  <c r="X70" i="90"/>
  <c r="N70" i="90"/>
  <c r="L70" i="90"/>
  <c r="B70" i="90"/>
  <c r="V69" i="90"/>
  <c r="T69" i="90"/>
  <c r="P69" i="90"/>
  <c r="H69" i="90"/>
  <c r="N69" i="90" s="1"/>
  <c r="D69" i="90"/>
  <c r="L69" i="90" s="1"/>
  <c r="B69" i="90"/>
  <c r="Z68" i="90"/>
  <c r="X68" i="90"/>
  <c r="L68" i="90"/>
  <c r="N68" i="90" s="1"/>
  <c r="J68" i="90"/>
  <c r="B68" i="90"/>
  <c r="X67" i="90"/>
  <c r="Z67" i="90" s="1"/>
  <c r="N67" i="90"/>
  <c r="L67" i="90"/>
  <c r="B67" i="90"/>
  <c r="V66" i="90"/>
  <c r="T66" i="90"/>
  <c r="P66" i="90"/>
  <c r="J66" i="90"/>
  <c r="H66" i="90"/>
  <c r="D66" i="90"/>
  <c r="L66" i="90" s="1"/>
  <c r="N66" i="90" s="1"/>
  <c r="B66" i="90"/>
  <c r="X65" i="90"/>
  <c r="Z65" i="90" s="1"/>
  <c r="L65" i="90"/>
  <c r="N65" i="90" s="1"/>
  <c r="B65" i="90"/>
  <c r="T64" i="90"/>
  <c r="P64" i="90"/>
  <c r="X64" i="90" s="1"/>
  <c r="Z64" i="90" s="1"/>
  <c r="N64" i="90"/>
  <c r="J64" i="90"/>
  <c r="H64" i="90"/>
  <c r="L64" i="90" s="1"/>
  <c r="D64" i="90"/>
  <c r="B64" i="90"/>
  <c r="Z63" i="90"/>
  <c r="X63" i="90"/>
  <c r="N63" i="90"/>
  <c r="L63" i="90"/>
  <c r="B63" i="90"/>
  <c r="Z62" i="90"/>
  <c r="T62" i="90"/>
  <c r="X62" i="90" s="1"/>
  <c r="P62" i="90"/>
  <c r="H62" i="90"/>
  <c r="D62" i="90"/>
  <c r="L62" i="90" s="1"/>
  <c r="N62" i="90" s="1"/>
  <c r="B62" i="90"/>
  <c r="X61" i="90"/>
  <c r="Z61" i="90" s="1"/>
  <c r="L61" i="90"/>
  <c r="N61" i="90" s="1"/>
  <c r="J61" i="90"/>
  <c r="B61" i="90"/>
  <c r="Z60" i="90"/>
  <c r="T60" i="90"/>
  <c r="P60" i="90"/>
  <c r="X60" i="90" s="1"/>
  <c r="L60" i="90"/>
  <c r="J60" i="90"/>
  <c r="H60" i="90"/>
  <c r="D60" i="90"/>
  <c r="B60" i="90"/>
  <c r="Z59" i="90"/>
  <c r="X59" i="90"/>
  <c r="N59" i="90"/>
  <c r="L59" i="90"/>
  <c r="B59" i="90"/>
  <c r="X58" i="90"/>
  <c r="V58" i="90"/>
  <c r="T58" i="90"/>
  <c r="Z58" i="90" s="1"/>
  <c r="P58" i="90"/>
  <c r="L58" i="90"/>
  <c r="H58" i="90"/>
  <c r="D58" i="90"/>
  <c r="B58" i="90"/>
  <c r="X57" i="90"/>
  <c r="Z57" i="90" s="1"/>
  <c r="V57" i="90"/>
  <c r="L57" i="90"/>
  <c r="N57" i="90" s="1"/>
  <c r="B57" i="90"/>
  <c r="T56" i="90"/>
  <c r="P56" i="90"/>
  <c r="H56" i="90"/>
  <c r="D56" i="90"/>
  <c r="B56" i="90"/>
  <c r="Z55" i="90"/>
  <c r="X55" i="90"/>
  <c r="N55" i="90"/>
  <c r="L55" i="90"/>
  <c r="J55" i="90"/>
  <c r="B55" i="90"/>
  <c r="T54" i="90"/>
  <c r="P54" i="90"/>
  <c r="H54" i="90"/>
  <c r="D54" i="90"/>
  <c r="L54" i="90" s="1"/>
  <c r="N54" i="90" s="1"/>
  <c r="B54" i="90"/>
  <c r="Z53" i="90"/>
  <c r="X53" i="90"/>
  <c r="L53" i="90"/>
  <c r="N53" i="90" s="1"/>
  <c r="J53" i="90"/>
  <c r="B53" i="90"/>
  <c r="Z52" i="90"/>
  <c r="T52" i="90"/>
  <c r="P52" i="90"/>
  <c r="X52" i="90" s="1"/>
  <c r="L52" i="90"/>
  <c r="J52" i="90"/>
  <c r="H52" i="90"/>
  <c r="D52" i="90"/>
  <c r="B52" i="90"/>
  <c r="Z51" i="90"/>
  <c r="X51" i="90"/>
  <c r="V51" i="90"/>
  <c r="N51" i="90"/>
  <c r="L51" i="90"/>
  <c r="B51" i="90"/>
  <c r="X50" i="90"/>
  <c r="V50" i="90"/>
  <c r="T50" i="90"/>
  <c r="Z50" i="90" s="1"/>
  <c r="P50" i="90"/>
  <c r="L50" i="90"/>
  <c r="H50" i="90"/>
  <c r="D50" i="90"/>
  <c r="B50" i="90"/>
  <c r="X49" i="90"/>
  <c r="Z49" i="90" s="1"/>
  <c r="L49" i="90"/>
  <c r="N49" i="90" s="1"/>
  <c r="B49" i="90"/>
  <c r="X48" i="90"/>
  <c r="T48" i="90"/>
  <c r="P48" i="90"/>
  <c r="H48" i="90"/>
  <c r="D48" i="90"/>
  <c r="L48" i="90" s="1"/>
  <c r="B48" i="90"/>
  <c r="Z47" i="90"/>
  <c r="X47" i="90"/>
  <c r="N47" i="90"/>
  <c r="L47" i="90"/>
  <c r="J47" i="90"/>
  <c r="B47" i="90"/>
  <c r="Z46" i="90"/>
  <c r="X46" i="90"/>
  <c r="N46" i="90"/>
  <c r="L46" i="90"/>
  <c r="J46" i="90"/>
  <c r="B46" i="90"/>
  <c r="X45" i="90"/>
  <c r="Z45" i="90" s="1"/>
  <c r="V45" i="90"/>
  <c r="L45" i="90"/>
  <c r="N45" i="90" s="1"/>
  <c r="B45" i="90"/>
  <c r="X44" i="90"/>
  <c r="Z44" i="90" s="1"/>
  <c r="N44" i="90"/>
  <c r="L44" i="90"/>
  <c r="B44" i="90"/>
  <c r="Z43" i="90"/>
  <c r="X43" i="90"/>
  <c r="N43" i="90"/>
  <c r="L43" i="90"/>
  <c r="B43" i="90"/>
  <c r="X42" i="90"/>
  <c r="Z42" i="90" s="1"/>
  <c r="L42" i="90"/>
  <c r="N42" i="90" s="1"/>
  <c r="B42" i="90"/>
  <c r="Z41" i="90"/>
  <c r="X41" i="90"/>
  <c r="L41" i="90"/>
  <c r="N41" i="90" s="1"/>
  <c r="J41" i="90"/>
  <c r="B41" i="90"/>
  <c r="Z40" i="90"/>
  <c r="X40" i="90"/>
  <c r="N40" i="90"/>
  <c r="L40" i="90"/>
  <c r="B40" i="90"/>
  <c r="Z39" i="90"/>
  <c r="X39" i="90"/>
  <c r="N39" i="90"/>
  <c r="L39" i="90"/>
  <c r="J39" i="90"/>
  <c r="B39" i="90"/>
  <c r="Z38" i="90"/>
  <c r="X38" i="90"/>
  <c r="N38" i="90"/>
  <c r="L38" i="90"/>
  <c r="J38" i="90"/>
  <c r="B38" i="90"/>
  <c r="T37" i="90"/>
  <c r="Z37" i="90" s="1"/>
  <c r="P37" i="90"/>
  <c r="X37" i="90" s="1"/>
  <c r="H37" i="90"/>
  <c r="D37" i="90"/>
  <c r="L37" i="90" s="1"/>
  <c r="N37" i="90" s="1"/>
  <c r="B37" i="90"/>
  <c r="Z36" i="90"/>
  <c r="X36" i="90"/>
  <c r="L36" i="90"/>
  <c r="N36" i="90" s="1"/>
  <c r="B36" i="90"/>
  <c r="Z35" i="90"/>
  <c r="X35" i="90"/>
  <c r="N35" i="90"/>
  <c r="L35" i="90"/>
  <c r="J35" i="90"/>
  <c r="B35" i="90"/>
  <c r="Z34" i="90"/>
  <c r="X34" i="90"/>
  <c r="L34" i="90"/>
  <c r="N34" i="90" s="1"/>
  <c r="J34" i="90"/>
  <c r="B34" i="90"/>
  <c r="Z33" i="90"/>
  <c r="X33" i="90"/>
  <c r="N33" i="90"/>
  <c r="L33" i="90"/>
  <c r="B33" i="90"/>
  <c r="Z32" i="90"/>
  <c r="X32" i="90"/>
  <c r="N32" i="90"/>
  <c r="L32" i="90"/>
  <c r="B32" i="90"/>
  <c r="Z31" i="90"/>
  <c r="X31" i="90"/>
  <c r="N31" i="90"/>
  <c r="L31" i="90"/>
  <c r="B31" i="90"/>
  <c r="X30" i="90"/>
  <c r="Z30" i="90" s="1"/>
  <c r="L30" i="90"/>
  <c r="N30" i="90" s="1"/>
  <c r="B30" i="90"/>
  <c r="Z29" i="90"/>
  <c r="X29" i="90"/>
  <c r="L29" i="90"/>
  <c r="N29" i="90" s="1"/>
  <c r="J29" i="90"/>
  <c r="B29" i="90"/>
  <c r="Z28" i="90"/>
  <c r="X28" i="90"/>
  <c r="L28" i="90"/>
  <c r="N28" i="90" s="1"/>
  <c r="B28" i="90"/>
  <c r="Z27" i="90"/>
  <c r="X27" i="90"/>
  <c r="N27" i="90"/>
  <c r="L27" i="90"/>
  <c r="J27" i="90"/>
  <c r="B27" i="90"/>
  <c r="T26" i="90"/>
  <c r="P26" i="90"/>
  <c r="X26" i="90" s="1"/>
  <c r="H26" i="90"/>
  <c r="D26" i="90"/>
  <c r="L26" i="90" s="1"/>
  <c r="N26" i="90" s="1"/>
  <c r="B26" i="90"/>
  <c r="X25" i="90"/>
  <c r="Z25" i="90" s="1"/>
  <c r="T25" i="90" a="1"/>
  <c r="T25" i="90" s="1"/>
  <c r="P25" i="90" a="1"/>
  <c r="P25" i="90" s="1"/>
  <c r="H25" i="90" a="1"/>
  <c r="H25" i="90" s="1"/>
  <c r="D25" i="90" a="1"/>
  <c r="D25" i="90" s="1"/>
  <c r="Z21" i="90"/>
  <c r="X21" i="90"/>
  <c r="N21" i="90"/>
  <c r="L21" i="90"/>
  <c r="B21" i="90"/>
  <c r="Z20" i="90"/>
  <c r="X20" i="90"/>
  <c r="N20" i="90"/>
  <c r="L20" i="90"/>
  <c r="J20" i="90"/>
  <c r="B20" i="90"/>
  <c r="Z19" i="90"/>
  <c r="X19" i="90"/>
  <c r="L19" i="90"/>
  <c r="N19" i="90" s="1"/>
  <c r="B19" i="90"/>
  <c r="X18" i="90"/>
  <c r="V18" i="90"/>
  <c r="T18" i="90"/>
  <c r="P18" i="90"/>
  <c r="H18" i="90"/>
  <c r="D18" i="90"/>
  <c r="Z16" i="90"/>
  <c r="P16" i="90"/>
  <c r="X16" i="90" s="1"/>
  <c r="N16" i="90"/>
  <c r="D16" i="90"/>
  <c r="L16" i="90" s="1"/>
  <c r="B16" i="90"/>
  <c r="Z15" i="90"/>
  <c r="X15" i="90"/>
  <c r="P15" i="90"/>
  <c r="N15" i="90"/>
  <c r="L15" i="90"/>
  <c r="D15" i="90"/>
  <c r="B15" i="90"/>
  <c r="P14" i="90"/>
  <c r="X14" i="90" s="1"/>
  <c r="Z14" i="90" s="1"/>
  <c r="D14" i="90"/>
  <c r="B14" i="90"/>
  <c r="Z13" i="90"/>
  <c r="X13" i="90"/>
  <c r="P13" i="90"/>
  <c r="N13" i="90"/>
  <c r="D13" i="90"/>
  <c r="L13" i="90" s="1"/>
  <c r="B13" i="90"/>
  <c r="T12" i="90"/>
  <c r="H12" i="90"/>
  <c r="J81" i="90" s="1"/>
  <c r="D6" i="90"/>
  <c r="D4" i="90"/>
  <c r="J43" i="89"/>
  <c r="Z38" i="89"/>
  <c r="X38" i="89"/>
  <c r="N38" i="89"/>
  <c r="L38" i="89"/>
  <c r="F38" i="89"/>
  <c r="J36" i="89"/>
  <c r="X34" i="89"/>
  <c r="T34" i="89"/>
  <c r="Z34" i="89" s="1"/>
  <c r="P34" i="89"/>
  <c r="H34" i="89"/>
  <c r="N34" i="89" s="1"/>
  <c r="D34" i="89"/>
  <c r="L34" i="89" s="1"/>
  <c r="Z32" i="89"/>
  <c r="X32" i="89"/>
  <c r="N32" i="89"/>
  <c r="L32" i="89"/>
  <c r="F32" i="89"/>
  <c r="B32" i="89"/>
  <c r="Z31" i="89"/>
  <c r="X31" i="89"/>
  <c r="T31" i="89"/>
  <c r="P31" i="89"/>
  <c r="N31" i="89"/>
  <c r="L31" i="89"/>
  <c r="H31" i="89"/>
  <c r="D31" i="89"/>
  <c r="B31" i="89"/>
  <c r="Z30" i="89"/>
  <c r="X30" i="89"/>
  <c r="V30" i="89"/>
  <c r="N30" i="89"/>
  <c r="L30" i="89"/>
  <c r="F30" i="89"/>
  <c r="B30" i="89"/>
  <c r="Z29" i="89"/>
  <c r="T29" i="89"/>
  <c r="X29" i="89" s="1"/>
  <c r="P29" i="89"/>
  <c r="J29" i="89"/>
  <c r="H29" i="89"/>
  <c r="N29" i="89" s="1"/>
  <c r="D29" i="89"/>
  <c r="B29" i="89"/>
  <c r="Z28" i="89"/>
  <c r="X28" i="89"/>
  <c r="N28" i="89"/>
  <c r="L28" i="89"/>
  <c r="J28" i="89"/>
  <c r="B28" i="89"/>
  <c r="Z27" i="89"/>
  <c r="T27" i="89"/>
  <c r="P27" i="89"/>
  <c r="X27" i="89" s="1"/>
  <c r="J27" i="89"/>
  <c r="H27" i="89"/>
  <c r="N27" i="89" s="1"/>
  <c r="F27" i="89"/>
  <c r="D27" i="89"/>
  <c r="L27" i="89" s="1"/>
  <c r="B27" i="89"/>
  <c r="Z26" i="89"/>
  <c r="X26" i="89"/>
  <c r="N26" i="89"/>
  <c r="L26" i="89"/>
  <c r="J26" i="89"/>
  <c r="B26" i="89"/>
  <c r="V25" i="89"/>
  <c r="T25" i="89"/>
  <c r="Z25" i="89" s="1"/>
  <c r="P25" i="89"/>
  <c r="X25" i="89" s="1"/>
  <c r="L25" i="89"/>
  <c r="H25" i="89"/>
  <c r="N25" i="89" s="1"/>
  <c r="F25" i="89"/>
  <c r="D25" i="89"/>
  <c r="B25" i="89"/>
  <c r="Z24" i="89"/>
  <c r="X24" i="89"/>
  <c r="V24" i="89"/>
  <c r="N24" i="89"/>
  <c r="L24" i="89"/>
  <c r="F24" i="89"/>
  <c r="B24" i="89"/>
  <c r="Z23" i="89"/>
  <c r="X23" i="89"/>
  <c r="N23" i="89"/>
  <c r="L23" i="89"/>
  <c r="J23" i="89"/>
  <c r="F23" i="89"/>
  <c r="B23" i="89"/>
  <c r="T22" i="89"/>
  <c r="Z22" i="89" s="1"/>
  <c r="P22" i="89"/>
  <c r="N22" i="89"/>
  <c r="J22" i="89"/>
  <c r="H22" i="89"/>
  <c r="D22" i="89"/>
  <c r="L22" i="89" s="1"/>
  <c r="B22" i="89"/>
  <c r="X21" i="89"/>
  <c r="T21" i="89" a="1"/>
  <c r="T21" i="89" s="1"/>
  <c r="Z21" i="89" s="1"/>
  <c r="P21" i="89" a="1"/>
  <c r="P21" i="89" s="1"/>
  <c r="N21" i="89"/>
  <c r="H21" i="89" a="1"/>
  <c r="H21" i="89" s="1"/>
  <c r="D21" i="89" a="1"/>
  <c r="D21" i="89" s="1"/>
  <c r="L21" i="89" s="1"/>
  <c r="J19" i="89"/>
  <c r="Z17" i="89"/>
  <c r="X17" i="89"/>
  <c r="V17" i="89"/>
  <c r="N17" i="89"/>
  <c r="L17" i="89"/>
  <c r="F17" i="89"/>
  <c r="B17" i="89"/>
  <c r="T16" i="89"/>
  <c r="Z16" i="89" s="1"/>
  <c r="P16" i="89"/>
  <c r="H16" i="89"/>
  <c r="N16" i="89" s="1"/>
  <c r="D16" i="89"/>
  <c r="Z14" i="89"/>
  <c r="P14" i="89"/>
  <c r="N14" i="89"/>
  <c r="D14" i="89"/>
  <c r="L14" i="89" s="1"/>
  <c r="B14" i="89"/>
  <c r="Z13" i="89"/>
  <c r="X13" i="89"/>
  <c r="P13" i="89"/>
  <c r="N13" i="89"/>
  <c r="L13" i="89"/>
  <c r="D13" i="89"/>
  <c r="B13" i="89"/>
  <c r="T12" i="89"/>
  <c r="N12" i="89"/>
  <c r="H12" i="89"/>
  <c r="J31" i="89" s="1"/>
  <c r="D12" i="89"/>
  <c r="D6" i="89"/>
  <c r="D4" i="89"/>
  <c r="Z93" i="88"/>
  <c r="X93" i="88"/>
  <c r="L93" i="88"/>
  <c r="N93" i="88" s="1"/>
  <c r="T89" i="88"/>
  <c r="Z89" i="88" s="1"/>
  <c r="P89" i="88"/>
  <c r="X89" i="88" s="1"/>
  <c r="L89" i="88"/>
  <c r="H89" i="88"/>
  <c r="N89" i="88" s="1"/>
  <c r="D89" i="88"/>
  <c r="X87" i="88"/>
  <c r="Z87" i="88" s="1"/>
  <c r="N87" i="88"/>
  <c r="L87" i="88"/>
  <c r="J87" i="88"/>
  <c r="B87" i="88"/>
  <c r="Z86" i="88"/>
  <c r="T86" i="88"/>
  <c r="P86" i="88"/>
  <c r="X86" i="88" s="1"/>
  <c r="N86" i="88"/>
  <c r="L86" i="88"/>
  <c r="H86" i="88"/>
  <c r="D86" i="88"/>
  <c r="B86" i="88"/>
  <c r="Z85" i="88"/>
  <c r="X85" i="88"/>
  <c r="L85" i="88"/>
  <c r="N85" i="88" s="1"/>
  <c r="B85" i="88"/>
  <c r="X84" i="88"/>
  <c r="Z84" i="88" s="1"/>
  <c r="T84" i="88"/>
  <c r="P84" i="88"/>
  <c r="H84" i="88"/>
  <c r="D84" i="88"/>
  <c r="B84" i="88"/>
  <c r="X83" i="88"/>
  <c r="Z83" i="88" s="1"/>
  <c r="L83" i="88"/>
  <c r="N83" i="88" s="1"/>
  <c r="B83" i="88"/>
  <c r="Z82" i="88"/>
  <c r="X82" i="88"/>
  <c r="N82" i="88"/>
  <c r="L82" i="88"/>
  <c r="B82" i="88"/>
  <c r="Z81" i="88"/>
  <c r="X81" i="88"/>
  <c r="R81" i="88"/>
  <c r="L81" i="88"/>
  <c r="N81" i="88" s="1"/>
  <c r="B81" i="88"/>
  <c r="X80" i="88"/>
  <c r="Z80" i="88" s="1"/>
  <c r="N80" i="88"/>
  <c r="L80" i="88"/>
  <c r="B80" i="88"/>
  <c r="Z79" i="88"/>
  <c r="X79" i="88"/>
  <c r="L79" i="88"/>
  <c r="N79" i="88" s="1"/>
  <c r="B79" i="88"/>
  <c r="Z78" i="88"/>
  <c r="X78" i="88"/>
  <c r="L78" i="88"/>
  <c r="N78" i="88" s="1"/>
  <c r="B78" i="88"/>
  <c r="X77" i="88"/>
  <c r="Z77" i="88" s="1"/>
  <c r="N77" i="88"/>
  <c r="L77" i="88"/>
  <c r="B77" i="88"/>
  <c r="Z76" i="88"/>
  <c r="X76" i="88"/>
  <c r="N76" i="88"/>
  <c r="L76" i="88"/>
  <c r="B76" i="88"/>
  <c r="V75" i="88"/>
  <c r="T75" i="88"/>
  <c r="Z75" i="88" s="1"/>
  <c r="P75" i="88"/>
  <c r="X75" i="88" s="1"/>
  <c r="L75" i="88"/>
  <c r="H75" i="88"/>
  <c r="N75" i="88" s="1"/>
  <c r="D75" i="88"/>
  <c r="B75" i="88"/>
  <c r="Z74" i="88"/>
  <c r="X74" i="88"/>
  <c r="L74" i="88"/>
  <c r="N74" i="88" s="1"/>
  <c r="B74" i="88"/>
  <c r="X73" i="88"/>
  <c r="Z73" i="88" s="1"/>
  <c r="N73" i="88"/>
  <c r="L73" i="88"/>
  <c r="J73" i="88"/>
  <c r="B73" i="88"/>
  <c r="Z72" i="88"/>
  <c r="X72" i="88"/>
  <c r="L72" i="88"/>
  <c r="N72" i="88" s="1"/>
  <c r="J72" i="88"/>
  <c r="B72" i="88"/>
  <c r="X71" i="88"/>
  <c r="Z71" i="88" s="1"/>
  <c r="L71" i="88"/>
  <c r="N71" i="88" s="1"/>
  <c r="B71" i="88"/>
  <c r="T70" i="88"/>
  <c r="P70" i="88"/>
  <c r="H70" i="88"/>
  <c r="D70" i="88"/>
  <c r="B70" i="88"/>
  <c r="X69" i="88"/>
  <c r="Z69" i="88" s="1"/>
  <c r="N69" i="88"/>
  <c r="L69" i="88"/>
  <c r="J69" i="88"/>
  <c r="B69" i="88"/>
  <c r="Z68" i="88"/>
  <c r="X68" i="88"/>
  <c r="L68" i="88"/>
  <c r="N68" i="88" s="1"/>
  <c r="J68" i="88"/>
  <c r="B68" i="88"/>
  <c r="Z67" i="88"/>
  <c r="X67" i="88"/>
  <c r="N67" i="88"/>
  <c r="L67" i="88"/>
  <c r="B67" i="88"/>
  <c r="T66" i="88"/>
  <c r="P66" i="88"/>
  <c r="H66" i="88"/>
  <c r="D66" i="88"/>
  <c r="L66" i="88" s="1"/>
  <c r="B66" i="88"/>
  <c r="X65" i="88"/>
  <c r="Z65" i="88" s="1"/>
  <c r="N65" i="88"/>
  <c r="L65" i="88"/>
  <c r="B65" i="88"/>
  <c r="T64" i="88"/>
  <c r="P64" i="88"/>
  <c r="X64" i="88" s="1"/>
  <c r="H64" i="88"/>
  <c r="D64" i="88"/>
  <c r="L64" i="88" s="1"/>
  <c r="N64" i="88" s="1"/>
  <c r="B64" i="88"/>
  <c r="Z63" i="88"/>
  <c r="X63" i="88"/>
  <c r="L63" i="88"/>
  <c r="N63" i="88" s="1"/>
  <c r="B63" i="88"/>
  <c r="Z62" i="88"/>
  <c r="T62" i="88"/>
  <c r="P62" i="88"/>
  <c r="X62" i="88" s="1"/>
  <c r="L62" i="88"/>
  <c r="N62" i="88" s="1"/>
  <c r="H62" i="88"/>
  <c r="D62" i="88"/>
  <c r="B62" i="88"/>
  <c r="Z61" i="88"/>
  <c r="X61" i="88"/>
  <c r="L61" i="88"/>
  <c r="N61" i="88" s="1"/>
  <c r="B61" i="88"/>
  <c r="X60" i="88"/>
  <c r="Z60" i="88" s="1"/>
  <c r="T60" i="88"/>
  <c r="P60" i="88"/>
  <c r="H60" i="88"/>
  <c r="D60" i="88"/>
  <c r="B60" i="88"/>
  <c r="X59" i="88"/>
  <c r="Z59" i="88" s="1"/>
  <c r="V59" i="88"/>
  <c r="N59" i="88"/>
  <c r="L59" i="88"/>
  <c r="B59" i="88"/>
  <c r="T58" i="88"/>
  <c r="P58" i="88"/>
  <c r="H58" i="88"/>
  <c r="D58" i="88"/>
  <c r="B58" i="88"/>
  <c r="X57" i="88"/>
  <c r="Z57" i="88" s="1"/>
  <c r="N57" i="88"/>
  <c r="L57" i="88"/>
  <c r="B57" i="88"/>
  <c r="T56" i="88"/>
  <c r="P56" i="88"/>
  <c r="N56" i="88"/>
  <c r="H56" i="88"/>
  <c r="D56" i="88"/>
  <c r="L56" i="88" s="1"/>
  <c r="B56" i="88"/>
  <c r="Z55" i="88"/>
  <c r="X55" i="88"/>
  <c r="N55" i="88"/>
  <c r="L55" i="88"/>
  <c r="B55" i="88"/>
  <c r="Z54" i="88"/>
  <c r="T54" i="88"/>
  <c r="P54" i="88"/>
  <c r="X54" i="88" s="1"/>
  <c r="N54" i="88"/>
  <c r="L54" i="88"/>
  <c r="H54" i="88"/>
  <c r="D54" i="88"/>
  <c r="B54" i="88"/>
  <c r="Z53" i="88"/>
  <c r="X53" i="88"/>
  <c r="V53" i="88"/>
  <c r="L53" i="88"/>
  <c r="N53" i="88" s="1"/>
  <c r="B53" i="88"/>
  <c r="X52" i="88"/>
  <c r="T52" i="88"/>
  <c r="Z52" i="88" s="1"/>
  <c r="P52" i="88"/>
  <c r="H52" i="88"/>
  <c r="D52" i="88"/>
  <c r="B52" i="88"/>
  <c r="X51" i="88"/>
  <c r="Z51" i="88" s="1"/>
  <c r="V51" i="88"/>
  <c r="L51" i="88"/>
  <c r="N51" i="88" s="1"/>
  <c r="B51" i="88"/>
  <c r="T50" i="88"/>
  <c r="P50" i="88"/>
  <c r="H50" i="88"/>
  <c r="D50" i="88"/>
  <c r="B50" i="88"/>
  <c r="X49" i="88"/>
  <c r="Z49" i="88" s="1"/>
  <c r="N49" i="88"/>
  <c r="L49" i="88"/>
  <c r="B49" i="88"/>
  <c r="T48" i="88"/>
  <c r="P48" i="88"/>
  <c r="X48" i="88" s="1"/>
  <c r="N48" i="88"/>
  <c r="H48" i="88"/>
  <c r="D48" i="88"/>
  <c r="L48" i="88" s="1"/>
  <c r="B48" i="88"/>
  <c r="Z47" i="88"/>
  <c r="X47" i="88"/>
  <c r="R47" i="88"/>
  <c r="N47" i="88"/>
  <c r="L47" i="88"/>
  <c r="B47" i="88"/>
  <c r="Z46" i="88"/>
  <c r="X46" i="88"/>
  <c r="N46" i="88"/>
  <c r="L46" i="88"/>
  <c r="B46" i="88"/>
  <c r="X45" i="88"/>
  <c r="Z45" i="88" s="1"/>
  <c r="N45" i="88"/>
  <c r="L45" i="88"/>
  <c r="B45" i="88"/>
  <c r="Z44" i="88"/>
  <c r="X44" i="88"/>
  <c r="N44" i="88"/>
  <c r="L44" i="88"/>
  <c r="B44" i="88"/>
  <c r="Z43" i="88"/>
  <c r="X43" i="88"/>
  <c r="N43" i="88"/>
  <c r="L43" i="88"/>
  <c r="B43" i="88"/>
  <c r="Z42" i="88"/>
  <c r="X42" i="88"/>
  <c r="N42" i="88"/>
  <c r="L42" i="88"/>
  <c r="B42" i="88"/>
  <c r="Z41" i="88"/>
  <c r="X41" i="88"/>
  <c r="V41" i="88"/>
  <c r="L41" i="88"/>
  <c r="N41" i="88" s="1"/>
  <c r="B41" i="88"/>
  <c r="Z40" i="88"/>
  <c r="X40" i="88"/>
  <c r="N40" i="88"/>
  <c r="L40" i="88"/>
  <c r="B40" i="88"/>
  <c r="X39" i="88"/>
  <c r="Z39" i="88" s="1"/>
  <c r="N39" i="88"/>
  <c r="L39" i="88"/>
  <c r="J39" i="88"/>
  <c r="B39" i="88"/>
  <c r="Z38" i="88"/>
  <c r="X38" i="88"/>
  <c r="N38" i="88"/>
  <c r="L38" i="88"/>
  <c r="B38" i="88"/>
  <c r="X37" i="88"/>
  <c r="Z37" i="88" s="1"/>
  <c r="T37" i="88"/>
  <c r="P37" i="88"/>
  <c r="H37" i="88"/>
  <c r="D37" i="88"/>
  <c r="B37" i="88"/>
  <c r="Z36" i="88"/>
  <c r="X36" i="88"/>
  <c r="N36" i="88"/>
  <c r="L36" i="88"/>
  <c r="B36" i="88"/>
  <c r="X35" i="88"/>
  <c r="Z35" i="88" s="1"/>
  <c r="N35" i="88"/>
  <c r="L35" i="88"/>
  <c r="B35" i="88"/>
  <c r="Z34" i="88"/>
  <c r="X34" i="88"/>
  <c r="L34" i="88"/>
  <c r="N34" i="88" s="1"/>
  <c r="B34" i="88"/>
  <c r="Z33" i="88"/>
  <c r="X33" i="88"/>
  <c r="N33" i="88"/>
  <c r="L33" i="88"/>
  <c r="B33" i="88"/>
  <c r="Z32" i="88"/>
  <c r="X32" i="88"/>
  <c r="N32" i="88"/>
  <c r="L32" i="88"/>
  <c r="B32" i="88"/>
  <c r="Z31" i="88"/>
  <c r="X31" i="88"/>
  <c r="N31" i="88"/>
  <c r="L31" i="88"/>
  <c r="B31" i="88"/>
  <c r="X30" i="88"/>
  <c r="Z30" i="88" s="1"/>
  <c r="N30" i="88"/>
  <c r="L30" i="88"/>
  <c r="J30" i="88"/>
  <c r="B30" i="88"/>
  <c r="Z29" i="88"/>
  <c r="X29" i="88"/>
  <c r="L29" i="88"/>
  <c r="N29" i="88" s="1"/>
  <c r="B29" i="88"/>
  <c r="X28" i="88"/>
  <c r="Z28" i="88" s="1"/>
  <c r="V28" i="88"/>
  <c r="N28" i="88"/>
  <c r="L28" i="88"/>
  <c r="B28" i="88"/>
  <c r="Z27" i="88"/>
  <c r="X27" i="88"/>
  <c r="L27" i="88"/>
  <c r="N27" i="88" s="1"/>
  <c r="B27" i="88"/>
  <c r="Z26" i="88"/>
  <c r="T26" i="88"/>
  <c r="P26" i="88"/>
  <c r="X26" i="88" s="1"/>
  <c r="L26" i="88"/>
  <c r="N26" i="88" s="1"/>
  <c r="J26" i="88"/>
  <c r="H26" i="88"/>
  <c r="D26" i="88"/>
  <c r="B26" i="88"/>
  <c r="T25" i="88" a="1"/>
  <c r="T25" i="88" s="1"/>
  <c r="R25" i="88"/>
  <c r="P25" i="88" a="1"/>
  <c r="P25" i="88" s="1"/>
  <c r="H25" i="88" a="1"/>
  <c r="H25" i="88" s="1"/>
  <c r="D25" i="88" a="1"/>
  <c r="D25" i="88"/>
  <c r="L25" i="88" s="1"/>
  <c r="N25" i="88" s="1"/>
  <c r="Z21" i="88"/>
  <c r="X21" i="88"/>
  <c r="N21" i="88"/>
  <c r="L21" i="88"/>
  <c r="B21" i="88"/>
  <c r="Z20" i="88"/>
  <c r="X20" i="88"/>
  <c r="V20" i="88"/>
  <c r="R20" i="88"/>
  <c r="N20" i="88"/>
  <c r="L20" i="88"/>
  <c r="B20" i="88"/>
  <c r="X19" i="88"/>
  <c r="Z19" i="88" s="1"/>
  <c r="V19" i="88"/>
  <c r="N19" i="88"/>
  <c r="L19" i="88"/>
  <c r="B19" i="88"/>
  <c r="Z18" i="88"/>
  <c r="X18" i="88"/>
  <c r="T18" i="88"/>
  <c r="P18" i="88"/>
  <c r="J18" i="88"/>
  <c r="H18" i="88"/>
  <c r="D18" i="88"/>
  <c r="L18" i="88" s="1"/>
  <c r="Z16" i="88"/>
  <c r="P16" i="88"/>
  <c r="P12" i="88" s="1"/>
  <c r="N16" i="88"/>
  <c r="D16" i="88"/>
  <c r="L16" i="88" s="1"/>
  <c r="B16" i="88"/>
  <c r="Z15" i="88"/>
  <c r="P15" i="88"/>
  <c r="X15" i="88" s="1"/>
  <c r="N15" i="88"/>
  <c r="D15" i="88"/>
  <c r="L15" i="88" s="1"/>
  <c r="B15" i="88"/>
  <c r="X14" i="88"/>
  <c r="Z14" i="88" s="1"/>
  <c r="P14" i="88"/>
  <c r="L14" i="88"/>
  <c r="N14" i="88" s="1"/>
  <c r="D14" i="88"/>
  <c r="B14" i="88"/>
  <c r="Z13" i="88"/>
  <c r="P13" i="88"/>
  <c r="X13" i="88" s="1"/>
  <c r="N13" i="88"/>
  <c r="D13" i="88"/>
  <c r="L13" i="88" s="1"/>
  <c r="B13" i="88"/>
  <c r="Z12" i="88"/>
  <c r="X12" i="88"/>
  <c r="T12" i="88"/>
  <c r="V83" i="88" s="1"/>
  <c r="H12" i="88"/>
  <c r="J86" i="88" s="1"/>
  <c r="D6" i="88"/>
  <c r="D4" i="88"/>
  <c r="V64" i="87"/>
  <c r="F64" i="87"/>
  <c r="Z62" i="87"/>
  <c r="X62" i="87"/>
  <c r="N62" i="87"/>
  <c r="L62" i="87"/>
  <c r="J62" i="87"/>
  <c r="F62" i="87"/>
  <c r="T58" i="87"/>
  <c r="Z58" i="87" s="1"/>
  <c r="P58" i="87"/>
  <c r="H58" i="87"/>
  <c r="N58" i="87" s="1"/>
  <c r="F58" i="87"/>
  <c r="D58" i="87"/>
  <c r="L58" i="87" s="1"/>
  <c r="Z56" i="87"/>
  <c r="X56" i="87"/>
  <c r="N56" i="87"/>
  <c r="L56" i="87"/>
  <c r="J56" i="87"/>
  <c r="F56" i="87"/>
  <c r="B56" i="87"/>
  <c r="T55" i="87"/>
  <c r="Z55" i="87" s="1"/>
  <c r="P55" i="87"/>
  <c r="X55" i="87" s="1"/>
  <c r="N55" i="87"/>
  <c r="H55" i="87"/>
  <c r="D55" i="87"/>
  <c r="L55" i="87" s="1"/>
  <c r="B55" i="87"/>
  <c r="X54" i="87"/>
  <c r="Z54" i="87" s="1"/>
  <c r="L54" i="87"/>
  <c r="N54" i="87" s="1"/>
  <c r="B54" i="87"/>
  <c r="Z53" i="87"/>
  <c r="T53" i="87"/>
  <c r="P53" i="87"/>
  <c r="X53" i="87" s="1"/>
  <c r="L53" i="87"/>
  <c r="N53" i="87" s="1"/>
  <c r="J53" i="87"/>
  <c r="H53" i="87"/>
  <c r="D53" i="87"/>
  <c r="B53" i="87"/>
  <c r="Z52" i="87"/>
  <c r="X52" i="87"/>
  <c r="R52" i="87"/>
  <c r="L52" i="87"/>
  <c r="N52" i="87" s="1"/>
  <c r="B52" i="87"/>
  <c r="X51" i="87"/>
  <c r="Z51" i="87" s="1"/>
  <c r="V51" i="87"/>
  <c r="N51" i="87"/>
  <c r="L51" i="87"/>
  <c r="B51" i="87"/>
  <c r="X50" i="87"/>
  <c r="Z50" i="87" s="1"/>
  <c r="T50" i="87"/>
  <c r="P50" i="87"/>
  <c r="J50" i="87"/>
  <c r="H50" i="87"/>
  <c r="D50" i="87"/>
  <c r="B50" i="87"/>
  <c r="Z49" i="87"/>
  <c r="X49" i="87"/>
  <c r="R49" i="87"/>
  <c r="N49" i="87"/>
  <c r="L49" i="87"/>
  <c r="B49" i="87"/>
  <c r="Z48" i="87"/>
  <c r="X48" i="87"/>
  <c r="R48" i="87"/>
  <c r="N48" i="87"/>
  <c r="L48" i="87"/>
  <c r="B48" i="87"/>
  <c r="X47" i="87"/>
  <c r="Z47" i="87" s="1"/>
  <c r="N47" i="87"/>
  <c r="L47" i="87"/>
  <c r="F47" i="87"/>
  <c r="B47" i="87"/>
  <c r="X46" i="87"/>
  <c r="Z46" i="87" s="1"/>
  <c r="T46" i="87"/>
  <c r="P46" i="87"/>
  <c r="J46" i="87"/>
  <c r="H46" i="87"/>
  <c r="D46" i="87"/>
  <c r="L46" i="87" s="1"/>
  <c r="B46" i="87"/>
  <c r="X45" i="87"/>
  <c r="Z45" i="87" s="1"/>
  <c r="R45" i="87"/>
  <c r="N45" i="87"/>
  <c r="L45" i="87"/>
  <c r="B45" i="87"/>
  <c r="T44" i="87"/>
  <c r="P44" i="87"/>
  <c r="X44" i="87" s="1"/>
  <c r="J44" i="87"/>
  <c r="H44" i="87"/>
  <c r="N44" i="87" s="1"/>
  <c r="F44" i="87"/>
  <c r="D44" i="87"/>
  <c r="L44" i="87" s="1"/>
  <c r="B44" i="87"/>
  <c r="Z43" i="87"/>
  <c r="X43" i="87"/>
  <c r="L43" i="87"/>
  <c r="N43" i="87" s="1"/>
  <c r="J43" i="87"/>
  <c r="B43" i="87"/>
  <c r="T42" i="87"/>
  <c r="Z42" i="87" s="1"/>
  <c r="R42" i="87"/>
  <c r="P42" i="87"/>
  <c r="X42" i="87" s="1"/>
  <c r="L42" i="87"/>
  <c r="H42" i="87"/>
  <c r="N42" i="87" s="1"/>
  <c r="F42" i="87"/>
  <c r="D42" i="87"/>
  <c r="B42" i="87"/>
  <c r="Z41" i="87"/>
  <c r="X41" i="87"/>
  <c r="N41" i="87"/>
  <c r="L41" i="87"/>
  <c r="F41" i="87"/>
  <c r="B41" i="87"/>
  <c r="X40" i="87"/>
  <c r="T40" i="87"/>
  <c r="Z40" i="87" s="1"/>
  <c r="R40" i="87"/>
  <c r="P40" i="87"/>
  <c r="N40" i="87"/>
  <c r="L40" i="87"/>
  <c r="H40" i="87"/>
  <c r="D40" i="87"/>
  <c r="B40" i="87"/>
  <c r="Z39" i="87"/>
  <c r="X39" i="87"/>
  <c r="N39" i="87"/>
  <c r="L39" i="87"/>
  <c r="F39" i="87"/>
  <c r="B39" i="87"/>
  <c r="Z38" i="87"/>
  <c r="X38" i="87"/>
  <c r="N38" i="87"/>
  <c r="L38" i="87"/>
  <c r="J38" i="87"/>
  <c r="B38" i="87"/>
  <c r="Z37" i="87"/>
  <c r="X37" i="87"/>
  <c r="N37" i="87"/>
  <c r="L37" i="87"/>
  <c r="F37" i="87"/>
  <c r="B37" i="87"/>
  <c r="Z36" i="87"/>
  <c r="X36" i="87"/>
  <c r="N36" i="87"/>
  <c r="L36" i="87"/>
  <c r="J36" i="87"/>
  <c r="F36" i="87"/>
  <c r="B36" i="87"/>
  <c r="Z35" i="87"/>
  <c r="X35" i="87"/>
  <c r="R35" i="87"/>
  <c r="N35" i="87"/>
  <c r="L35" i="87"/>
  <c r="J35" i="87"/>
  <c r="B35" i="87"/>
  <c r="Z34" i="87"/>
  <c r="X34" i="87"/>
  <c r="N34" i="87"/>
  <c r="L34" i="87"/>
  <c r="B34" i="87"/>
  <c r="Z33" i="87"/>
  <c r="X33" i="87"/>
  <c r="R33" i="87"/>
  <c r="N33" i="87"/>
  <c r="L33" i="87"/>
  <c r="B33" i="87"/>
  <c r="Z32" i="87"/>
  <c r="X32" i="87"/>
  <c r="V32" i="87"/>
  <c r="R32" i="87"/>
  <c r="N32" i="87"/>
  <c r="L32" i="87"/>
  <c r="B32" i="87"/>
  <c r="X31" i="87"/>
  <c r="Z31" i="87" s="1"/>
  <c r="N31" i="87"/>
  <c r="L31" i="87"/>
  <c r="F31" i="87"/>
  <c r="B31" i="87"/>
  <c r="Z30" i="87"/>
  <c r="X30" i="87"/>
  <c r="N30" i="87"/>
  <c r="L30" i="87"/>
  <c r="J30" i="87"/>
  <c r="B30" i="87"/>
  <c r="T29" i="87"/>
  <c r="P29" i="87"/>
  <c r="X29" i="87" s="1"/>
  <c r="Z29" i="87" s="1"/>
  <c r="L29" i="87"/>
  <c r="N29" i="87" s="1"/>
  <c r="J29" i="87"/>
  <c r="H29" i="87"/>
  <c r="D29" i="87"/>
  <c r="B29" i="87"/>
  <c r="Z28" i="87"/>
  <c r="X28" i="87"/>
  <c r="V28" i="87"/>
  <c r="R28" i="87"/>
  <c r="N28" i="87"/>
  <c r="L28" i="87"/>
  <c r="B28" i="87"/>
  <c r="X27" i="87"/>
  <c r="Z27" i="87" s="1"/>
  <c r="V27" i="87"/>
  <c r="N27" i="87"/>
  <c r="L27" i="87"/>
  <c r="F27" i="87"/>
  <c r="B27" i="87"/>
  <c r="X26" i="87"/>
  <c r="Z26" i="87" s="1"/>
  <c r="L26" i="87"/>
  <c r="N26" i="87" s="1"/>
  <c r="J26" i="87"/>
  <c r="B26" i="87"/>
  <c r="Z25" i="87"/>
  <c r="X25" i="87"/>
  <c r="N25" i="87"/>
  <c r="L25" i="87"/>
  <c r="F25" i="87"/>
  <c r="B25" i="87"/>
  <c r="X24" i="87"/>
  <c r="Z24" i="87" s="1"/>
  <c r="N24" i="87"/>
  <c r="L24" i="87"/>
  <c r="J24" i="87"/>
  <c r="F24" i="87"/>
  <c r="B24" i="87"/>
  <c r="Z23" i="87"/>
  <c r="X23" i="87"/>
  <c r="R23" i="87"/>
  <c r="L23" i="87"/>
  <c r="N23" i="87" s="1"/>
  <c r="J23" i="87"/>
  <c r="B23" i="87"/>
  <c r="X22" i="87"/>
  <c r="Z22" i="87" s="1"/>
  <c r="L22" i="87"/>
  <c r="N22" i="87" s="1"/>
  <c r="B22" i="87"/>
  <c r="X21" i="87"/>
  <c r="Z21" i="87" s="1"/>
  <c r="R21" i="87"/>
  <c r="N21" i="87"/>
  <c r="L21" i="87"/>
  <c r="B21" i="87"/>
  <c r="Z20" i="87"/>
  <c r="X20" i="87"/>
  <c r="V20" i="87"/>
  <c r="R20" i="87"/>
  <c r="L20" i="87"/>
  <c r="N20" i="87" s="1"/>
  <c r="B20" i="87"/>
  <c r="X19" i="87"/>
  <c r="Z19" i="87" s="1"/>
  <c r="T19" i="87"/>
  <c r="P19" i="87"/>
  <c r="H19" i="87"/>
  <c r="F19" i="87"/>
  <c r="D19" i="87"/>
  <c r="B19" i="87"/>
  <c r="T18" i="87" a="1"/>
  <c r="T18" i="87"/>
  <c r="R18" i="87"/>
  <c r="P18" i="87" a="1"/>
  <c r="P18" i="87"/>
  <c r="J18" i="87"/>
  <c r="H18" i="87" a="1"/>
  <c r="H18" i="87"/>
  <c r="F18" i="87"/>
  <c r="D18" i="87" a="1"/>
  <c r="D18" i="87" s="1"/>
  <c r="L18" i="87" s="1"/>
  <c r="V16" i="87"/>
  <c r="R16" i="87"/>
  <c r="P16" i="87"/>
  <c r="F16" i="87"/>
  <c r="D16" i="87"/>
  <c r="Z14" i="87"/>
  <c r="X14" i="87"/>
  <c r="T14" i="87"/>
  <c r="P14" i="87"/>
  <c r="N14" i="87"/>
  <c r="J14" i="87"/>
  <c r="H14" i="87"/>
  <c r="L14" i="87" s="1"/>
  <c r="F14" i="87"/>
  <c r="D14" i="87"/>
  <c r="T12" i="87"/>
  <c r="P12" i="87"/>
  <c r="R64" i="87" s="1"/>
  <c r="N12" i="87"/>
  <c r="L12" i="87"/>
  <c r="H12" i="87"/>
  <c r="J67" i="87" s="1"/>
  <c r="D12" i="87"/>
  <c r="F50" i="87" s="1"/>
  <c r="D6" i="87"/>
  <c r="D4" i="87"/>
  <c r="Z38" i="86"/>
  <c r="X38" i="86"/>
  <c r="R38" i="86"/>
  <c r="N38" i="86"/>
  <c r="L38" i="86"/>
  <c r="Z34" i="86"/>
  <c r="T34" i="86"/>
  <c r="P34" i="86"/>
  <c r="X34" i="86" s="1"/>
  <c r="N34" i="86"/>
  <c r="L34" i="86"/>
  <c r="H34" i="86"/>
  <c r="D34" i="86"/>
  <c r="Z32" i="86"/>
  <c r="X32" i="86"/>
  <c r="N32" i="86"/>
  <c r="L32" i="86"/>
  <c r="B32" i="86"/>
  <c r="Z31" i="86"/>
  <c r="X31" i="86"/>
  <c r="T31" i="86"/>
  <c r="P31" i="86"/>
  <c r="L31" i="86"/>
  <c r="H31" i="86"/>
  <c r="N31" i="86" s="1"/>
  <c r="D31" i="86"/>
  <c r="B31" i="86"/>
  <c r="Z30" i="86"/>
  <c r="X30" i="86"/>
  <c r="N30" i="86"/>
  <c r="L30" i="86"/>
  <c r="B30" i="86"/>
  <c r="X29" i="86"/>
  <c r="T29" i="86"/>
  <c r="Z29" i="86" s="1"/>
  <c r="P29" i="86"/>
  <c r="H29" i="86"/>
  <c r="N29" i="86" s="1"/>
  <c r="D29" i="86"/>
  <c r="L29" i="86" s="1"/>
  <c r="B29" i="86"/>
  <c r="Z28" i="86"/>
  <c r="X28" i="86"/>
  <c r="N28" i="86"/>
  <c r="L28" i="86"/>
  <c r="B28" i="86"/>
  <c r="T27" i="86"/>
  <c r="Z27" i="86" s="1"/>
  <c r="P27" i="86"/>
  <c r="X27" i="86" s="1"/>
  <c r="N27" i="86"/>
  <c r="H27" i="86"/>
  <c r="D27" i="86"/>
  <c r="L27" i="86" s="1"/>
  <c r="B27" i="86"/>
  <c r="Z26" i="86"/>
  <c r="X26" i="86"/>
  <c r="N26" i="86"/>
  <c r="L26" i="86"/>
  <c r="J26" i="86"/>
  <c r="B26" i="86"/>
  <c r="Z25" i="86"/>
  <c r="T25" i="86"/>
  <c r="P25" i="86"/>
  <c r="X25" i="86" s="1"/>
  <c r="N25" i="86"/>
  <c r="L25" i="86"/>
  <c r="J25" i="86"/>
  <c r="H25" i="86"/>
  <c r="D25" i="86"/>
  <c r="B25" i="86"/>
  <c r="Z24" i="86"/>
  <c r="X24" i="86"/>
  <c r="N24" i="86"/>
  <c r="L24" i="86"/>
  <c r="B24" i="86"/>
  <c r="X23" i="86"/>
  <c r="Z23" i="86" s="1"/>
  <c r="T23" i="86"/>
  <c r="P23" i="86"/>
  <c r="H23" i="86"/>
  <c r="F23" i="86"/>
  <c r="D23" i="86"/>
  <c r="B23" i="86"/>
  <c r="Z22" i="86"/>
  <c r="X22" i="86"/>
  <c r="N22" i="86"/>
  <c r="L22" i="86"/>
  <c r="B22" i="86"/>
  <c r="X21" i="86"/>
  <c r="T21" i="86"/>
  <c r="Z21" i="86" s="1"/>
  <c r="P21" i="86"/>
  <c r="H21" i="86"/>
  <c r="N21" i="86" s="1"/>
  <c r="D21" i="86"/>
  <c r="B21" i="86"/>
  <c r="T20" i="86" a="1"/>
  <c r="T20" i="86"/>
  <c r="P20" i="86" a="1"/>
  <c r="P20" i="86" s="1"/>
  <c r="X20" i="86" s="1"/>
  <c r="H20" i="86" a="1"/>
  <c r="H20" i="86"/>
  <c r="D20" i="86" a="1"/>
  <c r="D20" i="86" s="1"/>
  <c r="L20" i="86" s="1"/>
  <c r="Z16" i="86"/>
  <c r="X16" i="86"/>
  <c r="N16" i="86"/>
  <c r="L16" i="86"/>
  <c r="B16" i="86"/>
  <c r="Z15" i="86"/>
  <c r="X15" i="86"/>
  <c r="T15" i="86"/>
  <c r="P15" i="86"/>
  <c r="N15" i="86"/>
  <c r="L15" i="86"/>
  <c r="J15" i="86"/>
  <c r="H15" i="86"/>
  <c r="D15" i="86"/>
  <c r="Z13" i="86"/>
  <c r="X13" i="86"/>
  <c r="P13" i="86"/>
  <c r="N13" i="86"/>
  <c r="L13" i="86"/>
  <c r="D13" i="86"/>
  <c r="D12" i="86" s="1"/>
  <c r="B13" i="86"/>
  <c r="T12" i="86"/>
  <c r="P12" i="86"/>
  <c r="N12" i="86"/>
  <c r="L12" i="86"/>
  <c r="H12" i="86"/>
  <c r="J28" i="86" s="1"/>
  <c r="D6" i="86"/>
  <c r="D4" i="86"/>
  <c r="R32" i="85"/>
  <c r="Z30" i="85"/>
  <c r="X30" i="85"/>
  <c r="R30" i="85"/>
  <c r="N30" i="85"/>
  <c r="L30" i="85"/>
  <c r="Z26" i="85"/>
  <c r="T26" i="85"/>
  <c r="R26" i="85"/>
  <c r="P26" i="85"/>
  <c r="X26" i="85" s="1"/>
  <c r="N26" i="85"/>
  <c r="L26" i="85"/>
  <c r="H26" i="85"/>
  <c r="D26" i="85"/>
  <c r="Z24" i="85"/>
  <c r="X24" i="85"/>
  <c r="R24" i="85"/>
  <c r="N24" i="85"/>
  <c r="L24" i="85"/>
  <c r="B24" i="85"/>
  <c r="Z23" i="85"/>
  <c r="X23" i="85"/>
  <c r="V23" i="85"/>
  <c r="T23" i="85"/>
  <c r="P23" i="85"/>
  <c r="L23" i="85"/>
  <c r="H23" i="85"/>
  <c r="N23" i="85" s="1"/>
  <c r="F23" i="85"/>
  <c r="D23" i="85"/>
  <c r="B23" i="85"/>
  <c r="Z22" i="85"/>
  <c r="X22" i="85"/>
  <c r="V22" i="85"/>
  <c r="N22" i="85"/>
  <c r="L22" i="85"/>
  <c r="B22" i="85"/>
  <c r="X21" i="85"/>
  <c r="T21" i="85"/>
  <c r="Z21" i="85" s="1"/>
  <c r="R21" i="85"/>
  <c r="P21" i="85"/>
  <c r="H21" i="85"/>
  <c r="N21" i="85" s="1"/>
  <c r="D21" i="85"/>
  <c r="B21" i="85"/>
  <c r="Z20" i="85"/>
  <c r="X20" i="85"/>
  <c r="N20" i="85"/>
  <c r="L20" i="85"/>
  <c r="F20" i="85"/>
  <c r="B20" i="85"/>
  <c r="T19" i="85"/>
  <c r="P19" i="85"/>
  <c r="N19" i="85"/>
  <c r="H19" i="85"/>
  <c r="D19" i="85"/>
  <c r="L19" i="85" s="1"/>
  <c r="B19" i="85"/>
  <c r="T18" i="85" a="1"/>
  <c r="T18" i="85" s="1"/>
  <c r="P18" i="85" a="1"/>
  <c r="P18" i="85" s="1"/>
  <c r="H18" i="85" a="1"/>
  <c r="H18" i="85" s="1"/>
  <c r="D18" i="85" a="1"/>
  <c r="D18" i="85" s="1"/>
  <c r="L18" i="85" s="1"/>
  <c r="V14" i="85"/>
  <c r="T14" i="85"/>
  <c r="Z14" i="85" s="1"/>
  <c r="R14" i="85"/>
  <c r="P14" i="85"/>
  <c r="X14" i="85" s="1"/>
  <c r="N14" i="85"/>
  <c r="H14" i="85"/>
  <c r="F14" i="85"/>
  <c r="D14" i="85"/>
  <c r="L14" i="85" s="1"/>
  <c r="Z12" i="85"/>
  <c r="X12" i="85"/>
  <c r="T12" i="85"/>
  <c r="V18" i="85" s="1"/>
  <c r="P12" i="85"/>
  <c r="R35" i="85" s="1"/>
  <c r="H12" i="85"/>
  <c r="H16" i="85" s="1"/>
  <c r="D12" i="85"/>
  <c r="F16" i="85" s="1"/>
  <c r="D6" i="85"/>
  <c r="D4" i="85"/>
  <c r="R60" i="84"/>
  <c r="J57" i="84"/>
  <c r="Z55" i="84"/>
  <c r="X55" i="84"/>
  <c r="N55" i="84"/>
  <c r="L55" i="84"/>
  <c r="R53" i="84"/>
  <c r="Z51" i="84"/>
  <c r="R51" i="84"/>
  <c r="P51" i="84"/>
  <c r="X51" i="84" s="1"/>
  <c r="F51" i="84"/>
  <c r="D51" i="84"/>
  <c r="L51" i="84" s="1"/>
  <c r="N51" i="84" s="1"/>
  <c r="B51" i="84"/>
  <c r="Z50" i="84"/>
  <c r="X50" i="84"/>
  <c r="P50" i="84"/>
  <c r="D50" i="84"/>
  <c r="L50" i="84" s="1"/>
  <c r="N50" i="84" s="1"/>
  <c r="B50" i="84"/>
  <c r="P49" i="84"/>
  <c r="P48" i="84" s="1"/>
  <c r="X48" i="84" s="1"/>
  <c r="N49" i="84"/>
  <c r="L49" i="84"/>
  <c r="D49" i="84"/>
  <c r="B49" i="84"/>
  <c r="V48" i="84"/>
  <c r="T48" i="84"/>
  <c r="L48" i="84"/>
  <c r="H48" i="84"/>
  <c r="N48" i="84" s="1"/>
  <c r="D48" i="84"/>
  <c r="Z46" i="84"/>
  <c r="X46" i="84"/>
  <c r="R46" i="84"/>
  <c r="N46" i="84"/>
  <c r="L46" i="84"/>
  <c r="J46" i="84"/>
  <c r="B46" i="84"/>
  <c r="T45" i="84"/>
  <c r="Z45" i="84" s="1"/>
  <c r="P45" i="84"/>
  <c r="X45" i="84" s="1"/>
  <c r="N45" i="84"/>
  <c r="L45" i="84"/>
  <c r="H45" i="84"/>
  <c r="F45" i="84"/>
  <c r="D45" i="84"/>
  <c r="B45" i="84"/>
  <c r="Z44" i="84"/>
  <c r="X44" i="84"/>
  <c r="N44" i="84"/>
  <c r="L44" i="84"/>
  <c r="B44" i="84"/>
  <c r="Z43" i="84"/>
  <c r="X43" i="84"/>
  <c r="T43" i="84"/>
  <c r="R43" i="84"/>
  <c r="P43" i="84"/>
  <c r="N43" i="84"/>
  <c r="L43" i="84"/>
  <c r="H43" i="84"/>
  <c r="D43" i="84"/>
  <c r="B43" i="84"/>
  <c r="Z42" i="84"/>
  <c r="X42" i="84"/>
  <c r="N42" i="84"/>
  <c r="L42" i="84"/>
  <c r="B42" i="84"/>
  <c r="Z41" i="84"/>
  <c r="X41" i="84"/>
  <c r="T41" i="84"/>
  <c r="P41" i="84"/>
  <c r="N41" i="84"/>
  <c r="H41" i="84"/>
  <c r="D41" i="84"/>
  <c r="B41" i="84"/>
  <c r="Z40" i="84"/>
  <c r="X40" i="84"/>
  <c r="N40" i="84"/>
  <c r="L40" i="84"/>
  <c r="B40" i="84"/>
  <c r="Z39" i="84"/>
  <c r="T39" i="84"/>
  <c r="P39" i="84"/>
  <c r="X39" i="84" s="1"/>
  <c r="J39" i="84"/>
  <c r="H39" i="84"/>
  <c r="N39" i="84" s="1"/>
  <c r="D39" i="84"/>
  <c r="L39" i="84" s="1"/>
  <c r="B39" i="84"/>
  <c r="Z38" i="84"/>
  <c r="X38" i="84"/>
  <c r="R38" i="84"/>
  <c r="N38" i="84"/>
  <c r="L38" i="84"/>
  <c r="J38" i="84"/>
  <c r="B38" i="84"/>
  <c r="Z37" i="84"/>
  <c r="X37" i="84"/>
  <c r="V37" i="84"/>
  <c r="N37" i="84"/>
  <c r="L37" i="84"/>
  <c r="B37" i="84"/>
  <c r="Z36" i="84"/>
  <c r="X36" i="84"/>
  <c r="N36" i="84"/>
  <c r="L36" i="84"/>
  <c r="B36" i="84"/>
  <c r="Z35" i="84"/>
  <c r="X35" i="84"/>
  <c r="R35" i="84"/>
  <c r="N35" i="84"/>
  <c r="L35" i="84"/>
  <c r="B35" i="84"/>
  <c r="Z34" i="84"/>
  <c r="X34" i="84"/>
  <c r="N34" i="84"/>
  <c r="L34" i="84"/>
  <c r="B34" i="84"/>
  <c r="Z33" i="84"/>
  <c r="X33" i="84"/>
  <c r="N33" i="84"/>
  <c r="L33" i="84"/>
  <c r="J33" i="84"/>
  <c r="B33" i="84"/>
  <c r="Z32" i="84"/>
  <c r="X32" i="84"/>
  <c r="N32" i="84"/>
  <c r="L32" i="84"/>
  <c r="B32" i="84"/>
  <c r="Z31" i="84"/>
  <c r="X31" i="84"/>
  <c r="N31" i="84"/>
  <c r="L31" i="84"/>
  <c r="B31" i="84"/>
  <c r="Z30" i="84"/>
  <c r="X30" i="84"/>
  <c r="R30" i="84"/>
  <c r="N30" i="84"/>
  <c r="L30" i="84"/>
  <c r="J30" i="84"/>
  <c r="B30" i="84"/>
  <c r="Z29" i="84"/>
  <c r="X29" i="84"/>
  <c r="V29" i="84"/>
  <c r="N29" i="84"/>
  <c r="L29" i="84"/>
  <c r="B29" i="84"/>
  <c r="X28" i="84"/>
  <c r="T28" i="84"/>
  <c r="Z28" i="84" s="1"/>
  <c r="R28" i="84"/>
  <c r="P28" i="84"/>
  <c r="H28" i="84"/>
  <c r="N28" i="84" s="1"/>
  <c r="D28" i="84"/>
  <c r="B28" i="84"/>
  <c r="Z27" i="84"/>
  <c r="X27" i="84"/>
  <c r="N27" i="84"/>
  <c r="L27" i="84"/>
  <c r="F27" i="84"/>
  <c r="B27" i="84"/>
  <c r="Z26" i="84"/>
  <c r="X26" i="84"/>
  <c r="R26" i="84"/>
  <c r="N26" i="84"/>
  <c r="L26" i="84"/>
  <c r="J26" i="84"/>
  <c r="B26" i="84"/>
  <c r="Z25" i="84"/>
  <c r="X25" i="84"/>
  <c r="V25" i="84"/>
  <c r="N25" i="84"/>
  <c r="L25" i="84"/>
  <c r="B25" i="84"/>
  <c r="Z24" i="84"/>
  <c r="X24" i="84"/>
  <c r="N24" i="84"/>
  <c r="L24" i="84"/>
  <c r="B24" i="84"/>
  <c r="Z23" i="84"/>
  <c r="X23" i="84"/>
  <c r="R23" i="84"/>
  <c r="N23" i="84"/>
  <c r="L23" i="84"/>
  <c r="B23" i="84"/>
  <c r="Z22" i="84"/>
  <c r="X22" i="84"/>
  <c r="V22" i="84"/>
  <c r="N22" i="84"/>
  <c r="L22" i="84"/>
  <c r="B22" i="84"/>
  <c r="Z21" i="84"/>
  <c r="X21" i="84"/>
  <c r="N21" i="84"/>
  <c r="L21" i="84"/>
  <c r="J21" i="84"/>
  <c r="B21" i="84"/>
  <c r="Z20" i="84"/>
  <c r="X20" i="84"/>
  <c r="N20" i="84"/>
  <c r="L20" i="84"/>
  <c r="B20" i="84"/>
  <c r="Z19" i="84"/>
  <c r="X19" i="84"/>
  <c r="T19" i="84"/>
  <c r="R19" i="84"/>
  <c r="P19" i="84"/>
  <c r="N19" i="84"/>
  <c r="L19" i="84"/>
  <c r="H19" i="84"/>
  <c r="D19" i="84"/>
  <c r="B19" i="84"/>
  <c r="T18" i="84" a="1"/>
  <c r="T18" i="84" s="1"/>
  <c r="Z18" i="84" s="1"/>
  <c r="P18" i="84" a="1"/>
  <c r="P18" i="84"/>
  <c r="X18" i="84" s="1"/>
  <c r="J18" i="84"/>
  <c r="H18" i="84" a="1"/>
  <c r="H18" i="84" s="1"/>
  <c r="N18" i="84" s="1"/>
  <c r="D18" i="84" a="1"/>
  <c r="D18" i="84"/>
  <c r="F16" i="84"/>
  <c r="T14" i="84"/>
  <c r="Z14" i="84" s="1"/>
  <c r="P14" i="84"/>
  <c r="N14" i="84"/>
  <c r="H14" i="84"/>
  <c r="D14" i="84"/>
  <c r="L14" i="84" s="1"/>
  <c r="T12" i="84"/>
  <c r="V42" i="84" s="1"/>
  <c r="P12" i="84"/>
  <c r="R57" i="84" s="1"/>
  <c r="H12" i="84"/>
  <c r="J60" i="84" s="1"/>
  <c r="D12" i="84"/>
  <c r="F55" i="84" s="1"/>
  <c r="D6" i="84"/>
  <c r="D4" i="84"/>
  <c r="R95" i="83"/>
  <c r="Z93" i="83"/>
  <c r="X93" i="83"/>
  <c r="L93" i="83"/>
  <c r="N93" i="83" s="1"/>
  <c r="Z89" i="83"/>
  <c r="X89" i="83"/>
  <c r="P89" i="83"/>
  <c r="P88" i="83" s="1"/>
  <c r="X88" i="83" s="1"/>
  <c r="N89" i="83"/>
  <c r="D89" i="83"/>
  <c r="B89" i="83"/>
  <c r="Z88" i="83"/>
  <c r="T88" i="83"/>
  <c r="N88" i="83"/>
  <c r="H88" i="83"/>
  <c r="X86" i="83"/>
  <c r="Z86" i="83" s="1"/>
  <c r="L86" i="83"/>
  <c r="N86" i="83" s="1"/>
  <c r="B86" i="83"/>
  <c r="X85" i="83"/>
  <c r="Z85" i="83" s="1"/>
  <c r="T85" i="83"/>
  <c r="P85" i="83"/>
  <c r="H85" i="83"/>
  <c r="D85" i="83"/>
  <c r="B85" i="83"/>
  <c r="Z84" i="83"/>
  <c r="X84" i="83"/>
  <c r="N84" i="83"/>
  <c r="L84" i="83"/>
  <c r="B84" i="83"/>
  <c r="T83" i="83"/>
  <c r="P83" i="83"/>
  <c r="X83" i="83" s="1"/>
  <c r="N83" i="83"/>
  <c r="H83" i="83"/>
  <c r="D83" i="83"/>
  <c r="L83" i="83" s="1"/>
  <c r="B83" i="83"/>
  <c r="X82" i="83"/>
  <c r="Z82" i="83" s="1"/>
  <c r="N82" i="83"/>
  <c r="L82" i="83"/>
  <c r="B82" i="83"/>
  <c r="T81" i="83"/>
  <c r="P81" i="83"/>
  <c r="X81" i="83" s="1"/>
  <c r="Z81" i="83" s="1"/>
  <c r="H81" i="83"/>
  <c r="N81" i="83" s="1"/>
  <c r="D81" i="83"/>
  <c r="B81" i="83"/>
  <c r="Z80" i="83"/>
  <c r="X80" i="83"/>
  <c r="R80" i="83"/>
  <c r="N80" i="83"/>
  <c r="L80" i="83"/>
  <c r="B80" i="83"/>
  <c r="X79" i="83"/>
  <c r="Z79" i="83" s="1"/>
  <c r="L79" i="83"/>
  <c r="N79" i="83" s="1"/>
  <c r="B79" i="83"/>
  <c r="X78" i="83"/>
  <c r="Z78" i="83" s="1"/>
  <c r="T78" i="83"/>
  <c r="P78" i="83"/>
  <c r="H78" i="83"/>
  <c r="L78" i="83" s="1"/>
  <c r="D78" i="83"/>
  <c r="B78" i="83"/>
  <c r="X77" i="83"/>
  <c r="Z77" i="83" s="1"/>
  <c r="N77" i="83"/>
  <c r="L77" i="83"/>
  <c r="B77" i="83"/>
  <c r="Z76" i="83"/>
  <c r="X76" i="83"/>
  <c r="N76" i="83"/>
  <c r="L76" i="83"/>
  <c r="B76" i="83"/>
  <c r="Z75" i="83"/>
  <c r="X75" i="83"/>
  <c r="L75" i="83"/>
  <c r="N75" i="83" s="1"/>
  <c r="B75" i="83"/>
  <c r="X74" i="83"/>
  <c r="Z74" i="83" s="1"/>
  <c r="N74" i="83"/>
  <c r="L74" i="83"/>
  <c r="J74" i="83"/>
  <c r="B74" i="83"/>
  <c r="Z73" i="83"/>
  <c r="X73" i="83"/>
  <c r="L73" i="83"/>
  <c r="N73" i="83" s="1"/>
  <c r="B73" i="83"/>
  <c r="Z72" i="83"/>
  <c r="X72" i="83"/>
  <c r="N72" i="83"/>
  <c r="L72" i="83"/>
  <c r="B72" i="83"/>
  <c r="X71" i="83"/>
  <c r="Z71" i="83" s="1"/>
  <c r="R71" i="83"/>
  <c r="N71" i="83"/>
  <c r="L71" i="83"/>
  <c r="J71" i="83"/>
  <c r="B71" i="83"/>
  <c r="X70" i="83"/>
  <c r="Z70" i="83" s="1"/>
  <c r="L70" i="83"/>
  <c r="N70" i="83" s="1"/>
  <c r="B70" i="83"/>
  <c r="X69" i="83"/>
  <c r="Z69" i="83" s="1"/>
  <c r="N69" i="83"/>
  <c r="L69" i="83"/>
  <c r="B69" i="83"/>
  <c r="Z68" i="83"/>
  <c r="T68" i="83"/>
  <c r="X68" i="83" s="1"/>
  <c r="P68" i="83"/>
  <c r="J68" i="83"/>
  <c r="H68" i="83"/>
  <c r="N68" i="83" s="1"/>
  <c r="D68" i="83"/>
  <c r="L68" i="83" s="1"/>
  <c r="B68" i="83"/>
  <c r="X67" i="83"/>
  <c r="Z67" i="83" s="1"/>
  <c r="N67" i="83"/>
  <c r="L67" i="83"/>
  <c r="J67" i="83"/>
  <c r="B67" i="83"/>
  <c r="T66" i="83"/>
  <c r="Z66" i="83" s="1"/>
  <c r="P66" i="83"/>
  <c r="X66" i="83" s="1"/>
  <c r="H66" i="83"/>
  <c r="D66" i="83"/>
  <c r="L66" i="83" s="1"/>
  <c r="N66" i="83" s="1"/>
  <c r="B66" i="83"/>
  <c r="Z65" i="83"/>
  <c r="X65" i="83"/>
  <c r="L65" i="83"/>
  <c r="N65" i="83" s="1"/>
  <c r="B65" i="83"/>
  <c r="Z64" i="83"/>
  <c r="X64" i="83"/>
  <c r="N64" i="83"/>
  <c r="L64" i="83"/>
  <c r="B64" i="83"/>
  <c r="Z63" i="83"/>
  <c r="X63" i="83"/>
  <c r="N63" i="83"/>
  <c r="L63" i="83"/>
  <c r="J63" i="83"/>
  <c r="B63" i="83"/>
  <c r="X62" i="83"/>
  <c r="Z62" i="83" s="1"/>
  <c r="V62" i="83"/>
  <c r="L62" i="83"/>
  <c r="N62" i="83" s="1"/>
  <c r="B62" i="83"/>
  <c r="X61" i="83"/>
  <c r="Z61" i="83" s="1"/>
  <c r="T61" i="83"/>
  <c r="R61" i="83"/>
  <c r="P61" i="83"/>
  <c r="H61" i="83"/>
  <c r="D61" i="83"/>
  <c r="B61" i="83"/>
  <c r="Z60" i="83"/>
  <c r="X60" i="83"/>
  <c r="N60" i="83"/>
  <c r="L60" i="83"/>
  <c r="B60" i="83"/>
  <c r="X59" i="83"/>
  <c r="Z59" i="83" s="1"/>
  <c r="N59" i="83"/>
  <c r="L59" i="83"/>
  <c r="B59" i="83"/>
  <c r="T58" i="83"/>
  <c r="Z58" i="83" s="1"/>
  <c r="P58" i="83"/>
  <c r="X58" i="83" s="1"/>
  <c r="H58" i="83"/>
  <c r="D58" i="83"/>
  <c r="L58" i="83" s="1"/>
  <c r="N58" i="83" s="1"/>
  <c r="B58" i="83"/>
  <c r="X57" i="83"/>
  <c r="Z57" i="83" s="1"/>
  <c r="N57" i="83"/>
  <c r="L57" i="83"/>
  <c r="B57" i="83"/>
  <c r="Z56" i="83"/>
  <c r="X56" i="83"/>
  <c r="N56" i="83"/>
  <c r="L56" i="83"/>
  <c r="B56" i="83"/>
  <c r="T55" i="83"/>
  <c r="P55" i="83"/>
  <c r="N55" i="83"/>
  <c r="L55" i="83"/>
  <c r="H55" i="83"/>
  <c r="D55" i="83"/>
  <c r="B55" i="83"/>
  <c r="X54" i="83"/>
  <c r="Z54" i="83" s="1"/>
  <c r="L54" i="83"/>
  <c r="N54" i="83" s="1"/>
  <c r="B54" i="83"/>
  <c r="T53" i="83"/>
  <c r="P53" i="83"/>
  <c r="X53" i="83" s="1"/>
  <c r="Z53" i="83" s="1"/>
  <c r="H53" i="83"/>
  <c r="D53" i="83"/>
  <c r="B53" i="83"/>
  <c r="Z52" i="83"/>
  <c r="X52" i="83"/>
  <c r="N52" i="83"/>
  <c r="L52" i="83"/>
  <c r="B52" i="83"/>
  <c r="T51" i="83"/>
  <c r="P51" i="83"/>
  <c r="H51" i="83"/>
  <c r="D51" i="83"/>
  <c r="L51" i="83" s="1"/>
  <c r="B51" i="83"/>
  <c r="X50" i="83"/>
  <c r="Z50" i="83" s="1"/>
  <c r="L50" i="83"/>
  <c r="N50" i="83" s="1"/>
  <c r="B50" i="83"/>
  <c r="Z49" i="83"/>
  <c r="X49" i="83"/>
  <c r="N49" i="83"/>
  <c r="L49" i="83"/>
  <c r="F49" i="83"/>
  <c r="B49" i="83"/>
  <c r="T48" i="83"/>
  <c r="P48" i="83"/>
  <c r="X48" i="83" s="1"/>
  <c r="H48" i="83"/>
  <c r="D48" i="83"/>
  <c r="L48" i="83" s="1"/>
  <c r="N48" i="83" s="1"/>
  <c r="B48" i="83"/>
  <c r="X47" i="83"/>
  <c r="Z47" i="83" s="1"/>
  <c r="L47" i="83"/>
  <c r="N47" i="83" s="1"/>
  <c r="J47" i="83"/>
  <c r="B47" i="83"/>
  <c r="T46" i="83"/>
  <c r="P46" i="83"/>
  <c r="X46" i="83" s="1"/>
  <c r="Z46" i="83" s="1"/>
  <c r="J46" i="83"/>
  <c r="H46" i="83"/>
  <c r="L46" i="83" s="1"/>
  <c r="N46" i="83" s="1"/>
  <c r="D46" i="83"/>
  <c r="B46" i="83"/>
  <c r="Z45" i="83"/>
  <c r="X45" i="83"/>
  <c r="R45" i="83"/>
  <c r="N45" i="83"/>
  <c r="L45" i="83"/>
  <c r="B45" i="83"/>
  <c r="Z44" i="83"/>
  <c r="V44" i="83"/>
  <c r="T44" i="83"/>
  <c r="X44" i="83" s="1"/>
  <c r="P44" i="83"/>
  <c r="L44" i="83"/>
  <c r="H44" i="83"/>
  <c r="N44" i="83" s="1"/>
  <c r="D44" i="83"/>
  <c r="B44" i="83"/>
  <c r="Z43" i="83"/>
  <c r="X43" i="83"/>
  <c r="V43" i="83"/>
  <c r="N43" i="83"/>
  <c r="L43" i="83"/>
  <c r="B43" i="83"/>
  <c r="Z42" i="83"/>
  <c r="X42" i="83"/>
  <c r="N42" i="83"/>
  <c r="L42" i="83"/>
  <c r="B42" i="83"/>
  <c r="Z41" i="83"/>
  <c r="X41" i="83"/>
  <c r="R41" i="83"/>
  <c r="N41" i="83"/>
  <c r="L41" i="83"/>
  <c r="B41" i="83"/>
  <c r="Z40" i="83"/>
  <c r="X40" i="83"/>
  <c r="V40" i="83"/>
  <c r="N40" i="83"/>
  <c r="L40" i="83"/>
  <c r="F40" i="83"/>
  <c r="B40" i="83"/>
  <c r="Z39" i="83"/>
  <c r="X39" i="83"/>
  <c r="N39" i="83"/>
  <c r="L39" i="83"/>
  <c r="J39" i="83"/>
  <c r="B39" i="83"/>
  <c r="Z38" i="83"/>
  <c r="X38" i="83"/>
  <c r="L38" i="83"/>
  <c r="N38" i="83" s="1"/>
  <c r="B38" i="83"/>
  <c r="Z37" i="83"/>
  <c r="X37" i="83"/>
  <c r="N37" i="83"/>
  <c r="L37" i="83"/>
  <c r="F37" i="83"/>
  <c r="B37" i="83"/>
  <c r="Z36" i="83"/>
  <c r="X36" i="83"/>
  <c r="R36" i="83"/>
  <c r="N36" i="83"/>
  <c r="L36" i="83"/>
  <c r="J36" i="83"/>
  <c r="B36" i="83"/>
  <c r="X35" i="83"/>
  <c r="Z35" i="83" s="1"/>
  <c r="V35" i="83"/>
  <c r="L35" i="83"/>
  <c r="N35" i="83" s="1"/>
  <c r="B35" i="83"/>
  <c r="Z34" i="83"/>
  <c r="X34" i="83"/>
  <c r="N34" i="83"/>
  <c r="L34" i="83"/>
  <c r="B34" i="83"/>
  <c r="T33" i="83"/>
  <c r="P33" i="83"/>
  <c r="J33" i="83"/>
  <c r="H33" i="83"/>
  <c r="D33" i="83"/>
  <c r="L33" i="83" s="1"/>
  <c r="B33" i="83"/>
  <c r="Z32" i="83"/>
  <c r="X32" i="83"/>
  <c r="R32" i="83"/>
  <c r="N32" i="83"/>
  <c r="L32" i="83"/>
  <c r="J32" i="83"/>
  <c r="B32" i="83"/>
  <c r="X31" i="83"/>
  <c r="Z31" i="83" s="1"/>
  <c r="V31" i="83"/>
  <c r="L31" i="83"/>
  <c r="N31" i="83" s="1"/>
  <c r="B31" i="83"/>
  <c r="X30" i="83"/>
  <c r="Z30" i="83" s="1"/>
  <c r="V30" i="83"/>
  <c r="N30" i="83"/>
  <c r="L30" i="83"/>
  <c r="B30" i="83"/>
  <c r="Z29" i="83"/>
  <c r="X29" i="83"/>
  <c r="R29" i="83"/>
  <c r="N29" i="83"/>
  <c r="L29" i="83"/>
  <c r="B29" i="83"/>
  <c r="Z28" i="83"/>
  <c r="X28" i="83"/>
  <c r="V28" i="83"/>
  <c r="N28" i="83"/>
  <c r="L28" i="83"/>
  <c r="B28" i="83"/>
  <c r="X27" i="83"/>
  <c r="Z27" i="83" s="1"/>
  <c r="L27" i="83"/>
  <c r="N27" i="83" s="1"/>
  <c r="J27" i="83"/>
  <c r="B27" i="83"/>
  <c r="Z26" i="83"/>
  <c r="X26" i="83"/>
  <c r="L26" i="83"/>
  <c r="N26" i="83" s="1"/>
  <c r="B26" i="83"/>
  <c r="Z25" i="83"/>
  <c r="X25" i="83"/>
  <c r="N25" i="83"/>
  <c r="L25" i="83"/>
  <c r="F25" i="83"/>
  <c r="B25" i="83"/>
  <c r="Z24" i="83"/>
  <c r="X24" i="83"/>
  <c r="R24" i="83"/>
  <c r="N24" i="83"/>
  <c r="L24" i="83"/>
  <c r="J24" i="83"/>
  <c r="B24" i="83"/>
  <c r="V23" i="83"/>
  <c r="T23" i="83"/>
  <c r="P23" i="83"/>
  <c r="X23" i="83" s="1"/>
  <c r="H23" i="83"/>
  <c r="D23" i="83"/>
  <c r="L23" i="83" s="1"/>
  <c r="N23" i="83" s="1"/>
  <c r="B23" i="83"/>
  <c r="T22" i="83" a="1"/>
  <c r="T22" i="83" s="1"/>
  <c r="R22" i="83"/>
  <c r="P22" i="83" a="1"/>
  <c r="P22" i="83" s="1"/>
  <c r="H22" i="83" a="1"/>
  <c r="H22" i="83" s="1"/>
  <c r="N22" i="83" s="1"/>
  <c r="F22" i="83"/>
  <c r="D22" i="83" a="1"/>
  <c r="D22" i="83" s="1"/>
  <c r="L22" i="83" s="1"/>
  <c r="T20" i="83"/>
  <c r="P20" i="83"/>
  <c r="Z18" i="83"/>
  <c r="X18" i="83"/>
  <c r="V18" i="83"/>
  <c r="N18" i="83"/>
  <c r="L18" i="83"/>
  <c r="B18" i="83"/>
  <c r="Z17" i="83"/>
  <c r="X17" i="83"/>
  <c r="R17" i="83"/>
  <c r="N17" i="83"/>
  <c r="L17" i="83"/>
  <c r="B17" i="83"/>
  <c r="V16" i="83"/>
  <c r="T16" i="83"/>
  <c r="P16" i="83"/>
  <c r="X16" i="83" s="1"/>
  <c r="Z16" i="83" s="1"/>
  <c r="L16" i="83"/>
  <c r="N16" i="83" s="1"/>
  <c r="H16" i="83"/>
  <c r="D16" i="83"/>
  <c r="X14" i="83"/>
  <c r="Z14" i="83" s="1"/>
  <c r="P14" i="83"/>
  <c r="N14" i="83"/>
  <c r="L14" i="83"/>
  <c r="D14" i="83"/>
  <c r="B14" i="83"/>
  <c r="P13" i="83"/>
  <c r="X13" i="83" s="1"/>
  <c r="Z13" i="83" s="1"/>
  <c r="L13" i="83"/>
  <c r="N13" i="83" s="1"/>
  <c r="D13" i="83"/>
  <c r="D12" i="83" s="1"/>
  <c r="B13" i="83"/>
  <c r="T12" i="83"/>
  <c r="V70" i="83" s="1"/>
  <c r="P12" i="83"/>
  <c r="R49" i="83" s="1"/>
  <c r="H12" i="83"/>
  <c r="J81" i="83" s="1"/>
  <c r="D6" i="83"/>
  <c r="D4" i="83"/>
  <c r="X99" i="82"/>
  <c r="Z99" i="82" s="1"/>
  <c r="N99" i="82"/>
  <c r="L99" i="82"/>
  <c r="Z95" i="82"/>
  <c r="V95" i="82"/>
  <c r="P95" i="82"/>
  <c r="X95" i="82" s="1"/>
  <c r="N95" i="82"/>
  <c r="D95" i="82"/>
  <c r="L95" i="82" s="1"/>
  <c r="B95" i="82"/>
  <c r="Z94" i="82"/>
  <c r="T94" i="82"/>
  <c r="P94" i="82"/>
  <c r="X94" i="82" s="1"/>
  <c r="L94" i="82"/>
  <c r="H94" i="82"/>
  <c r="N94" i="82" s="1"/>
  <c r="D94" i="82"/>
  <c r="Z92" i="82"/>
  <c r="X92" i="82"/>
  <c r="N92" i="82"/>
  <c r="L92" i="82"/>
  <c r="B92" i="82"/>
  <c r="V91" i="82"/>
  <c r="T91" i="82"/>
  <c r="P91" i="82"/>
  <c r="X91" i="82" s="1"/>
  <c r="Z91" i="82" s="1"/>
  <c r="L91" i="82"/>
  <c r="H91" i="82"/>
  <c r="N91" i="82" s="1"/>
  <c r="D91" i="82"/>
  <c r="B91" i="82"/>
  <c r="Z90" i="82"/>
  <c r="X90" i="82"/>
  <c r="V90" i="82"/>
  <c r="N90" i="82"/>
  <c r="L90" i="82"/>
  <c r="B90" i="82"/>
  <c r="X89" i="82"/>
  <c r="T89" i="82"/>
  <c r="P89" i="82"/>
  <c r="H89" i="82"/>
  <c r="D89" i="82"/>
  <c r="B89" i="82"/>
  <c r="Z88" i="82"/>
  <c r="X88" i="82"/>
  <c r="N88" i="82"/>
  <c r="L88" i="82"/>
  <c r="B88" i="82"/>
  <c r="X87" i="82"/>
  <c r="Z87" i="82" s="1"/>
  <c r="N87" i="82"/>
  <c r="L87" i="82"/>
  <c r="J87" i="82"/>
  <c r="B87" i="82"/>
  <c r="V86" i="82"/>
  <c r="T86" i="82"/>
  <c r="P86" i="82"/>
  <c r="X86" i="82" s="1"/>
  <c r="H86" i="82"/>
  <c r="D86" i="82"/>
  <c r="L86" i="82" s="1"/>
  <c r="N86" i="82" s="1"/>
  <c r="B86" i="82"/>
  <c r="Z85" i="82"/>
  <c r="X85" i="82"/>
  <c r="N85" i="82"/>
  <c r="L85" i="82"/>
  <c r="B85" i="82"/>
  <c r="Z84" i="82"/>
  <c r="X84" i="82"/>
  <c r="N84" i="82"/>
  <c r="L84" i="82"/>
  <c r="B84" i="82"/>
  <c r="X83" i="82"/>
  <c r="Z83" i="82" s="1"/>
  <c r="N83" i="82"/>
  <c r="L83" i="82"/>
  <c r="J83" i="82"/>
  <c r="B83" i="82"/>
  <c r="Z82" i="82"/>
  <c r="X82" i="82"/>
  <c r="V82" i="82"/>
  <c r="N82" i="82"/>
  <c r="L82" i="82"/>
  <c r="B82" i="82"/>
  <c r="X81" i="82"/>
  <c r="Z81" i="82" s="1"/>
  <c r="N81" i="82"/>
  <c r="L81" i="82"/>
  <c r="B81" i="82"/>
  <c r="Z80" i="82"/>
  <c r="X80" i="82"/>
  <c r="N80" i="82"/>
  <c r="L80" i="82"/>
  <c r="B80" i="82"/>
  <c r="Z79" i="82"/>
  <c r="X79" i="82"/>
  <c r="V79" i="82"/>
  <c r="N79" i="82"/>
  <c r="L79" i="82"/>
  <c r="F79" i="82"/>
  <c r="B79" i="82"/>
  <c r="Z78" i="82"/>
  <c r="X78" i="82"/>
  <c r="N78" i="82"/>
  <c r="L78" i="82"/>
  <c r="J78" i="82"/>
  <c r="B78" i="82"/>
  <c r="Z77" i="82"/>
  <c r="T77" i="82"/>
  <c r="P77" i="82"/>
  <c r="X77" i="82" s="1"/>
  <c r="H77" i="82"/>
  <c r="D77" i="82"/>
  <c r="L77" i="82" s="1"/>
  <c r="N77" i="82" s="1"/>
  <c r="B77" i="82"/>
  <c r="Z76" i="82"/>
  <c r="X76" i="82"/>
  <c r="N76" i="82"/>
  <c r="L76" i="82"/>
  <c r="B76" i="82"/>
  <c r="V75" i="82"/>
  <c r="T75" i="82"/>
  <c r="P75" i="82"/>
  <c r="X75" i="82" s="1"/>
  <c r="Z75" i="82" s="1"/>
  <c r="L75" i="82"/>
  <c r="H75" i="82"/>
  <c r="D75" i="82"/>
  <c r="B75" i="82"/>
  <c r="Z74" i="82"/>
  <c r="X74" i="82"/>
  <c r="V74" i="82"/>
  <c r="L74" i="82"/>
  <c r="N74" i="82" s="1"/>
  <c r="B74" i="82"/>
  <c r="X73" i="82"/>
  <c r="Z73" i="82" s="1"/>
  <c r="N73" i="82"/>
  <c r="L73" i="82"/>
  <c r="B73" i="82"/>
  <c r="Z72" i="82"/>
  <c r="X72" i="82"/>
  <c r="N72" i="82"/>
  <c r="L72" i="82"/>
  <c r="B72" i="82"/>
  <c r="Z71" i="82"/>
  <c r="X71" i="82"/>
  <c r="V71" i="82"/>
  <c r="L71" i="82"/>
  <c r="N71" i="82" s="1"/>
  <c r="B71" i="82"/>
  <c r="X70" i="82"/>
  <c r="T70" i="82"/>
  <c r="Z70" i="82" s="1"/>
  <c r="P70" i="82"/>
  <c r="H70" i="82"/>
  <c r="L70" i="82" s="1"/>
  <c r="D70" i="82"/>
  <c r="B70" i="82"/>
  <c r="X69" i="82"/>
  <c r="Z69" i="82" s="1"/>
  <c r="V69" i="82"/>
  <c r="N69" i="82"/>
  <c r="L69" i="82"/>
  <c r="B69" i="82"/>
  <c r="Z68" i="82"/>
  <c r="X68" i="82"/>
  <c r="N68" i="82"/>
  <c r="L68" i="82"/>
  <c r="B68" i="82"/>
  <c r="V67" i="82"/>
  <c r="T67" i="82"/>
  <c r="P67" i="82"/>
  <c r="X67" i="82" s="1"/>
  <c r="Z67" i="82" s="1"/>
  <c r="L67" i="82"/>
  <c r="N67" i="82" s="1"/>
  <c r="H67" i="82"/>
  <c r="D67" i="82"/>
  <c r="B67" i="82"/>
  <c r="Z66" i="82"/>
  <c r="X66" i="82"/>
  <c r="V66" i="82"/>
  <c r="L66" i="82"/>
  <c r="N66" i="82" s="1"/>
  <c r="B66" i="82"/>
  <c r="X65" i="82"/>
  <c r="Z65" i="82" s="1"/>
  <c r="V65" i="82"/>
  <c r="T65" i="82"/>
  <c r="P65" i="82"/>
  <c r="H65" i="82"/>
  <c r="D65" i="82"/>
  <c r="B65" i="82"/>
  <c r="Z64" i="82"/>
  <c r="X64" i="82"/>
  <c r="N64" i="82"/>
  <c r="L64" i="82"/>
  <c r="B64" i="82"/>
  <c r="T63" i="82"/>
  <c r="P63" i="82"/>
  <c r="N63" i="82"/>
  <c r="H63" i="82"/>
  <c r="D63" i="82"/>
  <c r="L63" i="82" s="1"/>
  <c r="B63" i="82"/>
  <c r="X62" i="82"/>
  <c r="Z62" i="82" s="1"/>
  <c r="N62" i="82"/>
  <c r="L62" i="82"/>
  <c r="J62" i="82"/>
  <c r="B62" i="82"/>
  <c r="T61" i="82"/>
  <c r="P61" i="82"/>
  <c r="X61" i="82" s="1"/>
  <c r="Z61" i="82" s="1"/>
  <c r="N61" i="82"/>
  <c r="J61" i="82"/>
  <c r="H61" i="82"/>
  <c r="D61" i="82"/>
  <c r="L61" i="82" s="1"/>
  <c r="B61" i="82"/>
  <c r="Z60" i="82"/>
  <c r="X60" i="82"/>
  <c r="N60" i="82"/>
  <c r="L60" i="82"/>
  <c r="B60" i="82"/>
  <c r="V59" i="82"/>
  <c r="T59" i="82"/>
  <c r="P59" i="82"/>
  <c r="X59" i="82" s="1"/>
  <c r="Z59" i="82" s="1"/>
  <c r="L59" i="82"/>
  <c r="N59" i="82" s="1"/>
  <c r="H59" i="82"/>
  <c r="D59" i="82"/>
  <c r="B59" i="82"/>
  <c r="Z58" i="82"/>
  <c r="X58" i="82"/>
  <c r="V58" i="82"/>
  <c r="L58" i="82"/>
  <c r="N58" i="82" s="1"/>
  <c r="B58" i="82"/>
  <c r="X57" i="82"/>
  <c r="Z57" i="82" s="1"/>
  <c r="V57" i="82"/>
  <c r="T57" i="82"/>
  <c r="P57" i="82"/>
  <c r="H57" i="82"/>
  <c r="D57" i="82"/>
  <c r="B57" i="82"/>
  <c r="Z56" i="82"/>
  <c r="X56" i="82"/>
  <c r="N56" i="82"/>
  <c r="L56" i="82"/>
  <c r="B56" i="82"/>
  <c r="Z55" i="82"/>
  <c r="X55" i="82"/>
  <c r="N55" i="82"/>
  <c r="L55" i="82"/>
  <c r="J55" i="82"/>
  <c r="B55" i="82"/>
  <c r="V54" i="82"/>
  <c r="T54" i="82"/>
  <c r="Z54" i="82" s="1"/>
  <c r="P54" i="82"/>
  <c r="X54" i="82" s="1"/>
  <c r="H54" i="82"/>
  <c r="D54" i="82"/>
  <c r="L54" i="82" s="1"/>
  <c r="N54" i="82" s="1"/>
  <c r="B54" i="82"/>
  <c r="Z53" i="82"/>
  <c r="X53" i="82"/>
  <c r="L53" i="82"/>
  <c r="N53" i="82" s="1"/>
  <c r="B53" i="82"/>
  <c r="T52" i="82"/>
  <c r="P52" i="82"/>
  <c r="X52" i="82" s="1"/>
  <c r="Z52" i="82" s="1"/>
  <c r="L52" i="82"/>
  <c r="H52" i="82"/>
  <c r="N52" i="82" s="1"/>
  <c r="D52" i="82"/>
  <c r="B52" i="82"/>
  <c r="Z51" i="82"/>
  <c r="X51" i="82"/>
  <c r="V51" i="82"/>
  <c r="N51" i="82"/>
  <c r="L51" i="82"/>
  <c r="B51" i="82"/>
  <c r="X50" i="82"/>
  <c r="T50" i="82"/>
  <c r="P50" i="82"/>
  <c r="N50" i="82"/>
  <c r="H50" i="82"/>
  <c r="L50" i="82" s="1"/>
  <c r="D50" i="82"/>
  <c r="B50" i="82"/>
  <c r="Z49" i="82"/>
  <c r="X49" i="82"/>
  <c r="V49" i="82"/>
  <c r="N49" i="82"/>
  <c r="L49" i="82"/>
  <c r="B49" i="82"/>
  <c r="T48" i="82"/>
  <c r="X48" i="82" s="1"/>
  <c r="P48" i="82"/>
  <c r="H48" i="82"/>
  <c r="N48" i="82" s="1"/>
  <c r="D48" i="82"/>
  <c r="L48" i="82" s="1"/>
  <c r="B48" i="82"/>
  <c r="Z47" i="82"/>
  <c r="X47" i="82"/>
  <c r="N47" i="82"/>
  <c r="L47" i="82"/>
  <c r="B47" i="82"/>
  <c r="Z46" i="82"/>
  <c r="X46" i="82"/>
  <c r="V46" i="82"/>
  <c r="N46" i="82"/>
  <c r="L46" i="82"/>
  <c r="B46" i="82"/>
  <c r="X45" i="82"/>
  <c r="Z45" i="82" s="1"/>
  <c r="V45" i="82"/>
  <c r="N45" i="82"/>
  <c r="L45" i="82"/>
  <c r="B45" i="82"/>
  <c r="Z44" i="82"/>
  <c r="X44" i="82"/>
  <c r="N44" i="82"/>
  <c r="L44" i="82"/>
  <c r="B44" i="82"/>
  <c r="Z43" i="82"/>
  <c r="X43" i="82"/>
  <c r="V43" i="82"/>
  <c r="N43" i="82"/>
  <c r="L43" i="82"/>
  <c r="B43" i="82"/>
  <c r="Z42" i="82"/>
  <c r="X42" i="82"/>
  <c r="N42" i="82"/>
  <c r="L42" i="82"/>
  <c r="B42" i="82"/>
  <c r="Z41" i="82"/>
  <c r="X41" i="82"/>
  <c r="L41" i="82"/>
  <c r="N41" i="82" s="1"/>
  <c r="B41" i="82"/>
  <c r="Z40" i="82"/>
  <c r="X40" i="82"/>
  <c r="N40" i="82"/>
  <c r="L40" i="82"/>
  <c r="B40" i="82"/>
  <c r="X39" i="82"/>
  <c r="Z39" i="82" s="1"/>
  <c r="N39" i="82"/>
  <c r="L39" i="82"/>
  <c r="B39" i="82"/>
  <c r="Z38" i="82"/>
  <c r="X38" i="82"/>
  <c r="V38" i="82"/>
  <c r="N38" i="82"/>
  <c r="L38" i="82"/>
  <c r="B38" i="82"/>
  <c r="X37" i="82"/>
  <c r="Z37" i="82" s="1"/>
  <c r="V37" i="82"/>
  <c r="T37" i="82"/>
  <c r="P37" i="82"/>
  <c r="H37" i="82"/>
  <c r="D37" i="82"/>
  <c r="B37" i="82"/>
  <c r="Z36" i="82"/>
  <c r="X36" i="82"/>
  <c r="N36" i="82"/>
  <c r="L36" i="82"/>
  <c r="B36" i="82"/>
  <c r="X35" i="82"/>
  <c r="Z35" i="82" s="1"/>
  <c r="N35" i="82"/>
  <c r="L35" i="82"/>
  <c r="B35" i="82"/>
  <c r="Z34" i="82"/>
  <c r="X34" i="82"/>
  <c r="V34" i="82"/>
  <c r="L34" i="82"/>
  <c r="N34" i="82" s="1"/>
  <c r="B34" i="82"/>
  <c r="Z33" i="82"/>
  <c r="X33" i="82"/>
  <c r="V33" i="82"/>
  <c r="N33" i="82"/>
  <c r="L33" i="82"/>
  <c r="B33" i="82"/>
  <c r="Z32" i="82"/>
  <c r="X32" i="82"/>
  <c r="N32" i="82"/>
  <c r="L32" i="82"/>
  <c r="B32" i="82"/>
  <c r="Z31" i="82"/>
  <c r="X31" i="82"/>
  <c r="V31" i="82"/>
  <c r="L31" i="82"/>
  <c r="N31" i="82" s="1"/>
  <c r="B31" i="82"/>
  <c r="X30" i="82"/>
  <c r="Z30" i="82" s="1"/>
  <c r="N30" i="82"/>
  <c r="L30" i="82"/>
  <c r="J30" i="82"/>
  <c r="B30" i="82"/>
  <c r="Z29" i="82"/>
  <c r="X29" i="82"/>
  <c r="L29" i="82"/>
  <c r="N29" i="82" s="1"/>
  <c r="B29" i="82"/>
  <c r="Z28" i="82"/>
  <c r="X28" i="82"/>
  <c r="N28" i="82"/>
  <c r="L28" i="82"/>
  <c r="B28" i="82"/>
  <c r="X27" i="82"/>
  <c r="Z27" i="82" s="1"/>
  <c r="N27" i="82"/>
  <c r="L27" i="82"/>
  <c r="J27" i="82"/>
  <c r="B27" i="82"/>
  <c r="V26" i="82"/>
  <c r="T26" i="82"/>
  <c r="Z26" i="82" s="1"/>
  <c r="P26" i="82"/>
  <c r="X26" i="82" s="1"/>
  <c r="H26" i="82"/>
  <c r="D26" i="82"/>
  <c r="L26" i="82" s="1"/>
  <c r="N26" i="82" s="1"/>
  <c r="B26" i="82"/>
  <c r="Z25" i="82"/>
  <c r="T25" i="82" a="1"/>
  <c r="T25" i="82" s="1"/>
  <c r="T97" i="82" s="1"/>
  <c r="P25" i="82" a="1"/>
  <c r="P25" i="82" s="1"/>
  <c r="X25" i="82" s="1"/>
  <c r="H25" i="82" a="1"/>
  <c r="H25" i="82" s="1"/>
  <c r="D25" i="82" a="1"/>
  <c r="D25" i="82" s="1"/>
  <c r="L25" i="82" s="1"/>
  <c r="T23" i="82"/>
  <c r="Z21" i="82"/>
  <c r="X21" i="82"/>
  <c r="V21" i="82"/>
  <c r="N21" i="82"/>
  <c r="L21" i="82"/>
  <c r="B21" i="82"/>
  <c r="Z20" i="82"/>
  <c r="X20" i="82"/>
  <c r="N20" i="82"/>
  <c r="L20" i="82"/>
  <c r="B20" i="82"/>
  <c r="Z19" i="82"/>
  <c r="X19" i="82"/>
  <c r="V19" i="82"/>
  <c r="L19" i="82"/>
  <c r="N19" i="82" s="1"/>
  <c r="B19" i="82"/>
  <c r="X18" i="82"/>
  <c r="T18" i="82"/>
  <c r="Z18" i="82" s="1"/>
  <c r="P18" i="82"/>
  <c r="L18" i="82"/>
  <c r="N18" i="82" s="1"/>
  <c r="H18" i="82"/>
  <c r="D18" i="82"/>
  <c r="Z16" i="82"/>
  <c r="P16" i="82"/>
  <c r="X16" i="82" s="1"/>
  <c r="N16" i="82"/>
  <c r="D16" i="82"/>
  <c r="L16" i="82" s="1"/>
  <c r="B16" i="82"/>
  <c r="X15" i="82"/>
  <c r="Z15" i="82" s="1"/>
  <c r="P15" i="82"/>
  <c r="N15" i="82"/>
  <c r="L15" i="82"/>
  <c r="D15" i="82"/>
  <c r="B15" i="82"/>
  <c r="Z14" i="82"/>
  <c r="P14" i="82"/>
  <c r="X14" i="82" s="1"/>
  <c r="N14" i="82"/>
  <c r="D14" i="82"/>
  <c r="L14" i="82" s="1"/>
  <c r="B14" i="82"/>
  <c r="Z13" i="82"/>
  <c r="X13" i="82"/>
  <c r="P13" i="82"/>
  <c r="D13" i="82"/>
  <c r="L13" i="82" s="1"/>
  <c r="N13" i="82" s="1"/>
  <c r="B13" i="82"/>
  <c r="T12" i="82"/>
  <c r="V78" i="82" s="1"/>
  <c r="H12" i="82"/>
  <c r="D12" i="82"/>
  <c r="D6" i="82"/>
  <c r="D4" i="82"/>
  <c r="F35" i="81"/>
  <c r="J32" i="81"/>
  <c r="Z30" i="81"/>
  <c r="X30" i="81"/>
  <c r="N30" i="81"/>
  <c r="L30" i="81"/>
  <c r="F30" i="81"/>
  <c r="F28" i="81"/>
  <c r="T26" i="81"/>
  <c r="P26" i="81"/>
  <c r="J26" i="81"/>
  <c r="H26" i="81"/>
  <c r="N26" i="81" s="1"/>
  <c r="D26" i="81"/>
  <c r="L26" i="81" s="1"/>
  <c r="Z24" i="81"/>
  <c r="X24" i="81"/>
  <c r="N24" i="81"/>
  <c r="L24" i="81"/>
  <c r="F24" i="81"/>
  <c r="B24" i="81"/>
  <c r="T23" i="81"/>
  <c r="P23" i="81"/>
  <c r="N23" i="81"/>
  <c r="H23" i="81"/>
  <c r="D23" i="81"/>
  <c r="L23" i="81" s="1"/>
  <c r="B23" i="81"/>
  <c r="Z22" i="81"/>
  <c r="X22" i="81"/>
  <c r="N22" i="81"/>
  <c r="L22" i="81"/>
  <c r="J22" i="81"/>
  <c r="F22" i="81"/>
  <c r="B22" i="81"/>
  <c r="Z21" i="81"/>
  <c r="T21" i="81"/>
  <c r="P21" i="81"/>
  <c r="X21" i="81" s="1"/>
  <c r="N21" i="81"/>
  <c r="J21" i="81"/>
  <c r="H21" i="81"/>
  <c r="D21" i="81"/>
  <c r="L21" i="81" s="1"/>
  <c r="B21" i="81"/>
  <c r="Z20" i="81"/>
  <c r="X20" i="81"/>
  <c r="N20" i="81"/>
  <c r="L20" i="81"/>
  <c r="J20" i="81"/>
  <c r="B20" i="81"/>
  <c r="Z19" i="81"/>
  <c r="T19" i="81"/>
  <c r="P19" i="81"/>
  <c r="X19" i="81" s="1"/>
  <c r="L19" i="81"/>
  <c r="J19" i="81"/>
  <c r="H19" i="81"/>
  <c r="N19" i="81" s="1"/>
  <c r="F19" i="81"/>
  <c r="D19" i="81"/>
  <c r="B19" i="81"/>
  <c r="T18" i="81" a="1"/>
  <c r="T18" i="81" s="1"/>
  <c r="Z18" i="81" s="1"/>
  <c r="P18" i="81" a="1"/>
  <c r="P18" i="81" s="1"/>
  <c r="J18" i="81"/>
  <c r="H18" i="81" a="1"/>
  <c r="H18" i="81" s="1"/>
  <c r="N18" i="81" s="1"/>
  <c r="F18" i="81"/>
  <c r="D18" i="81" a="1"/>
  <c r="D18" i="81" s="1"/>
  <c r="L18" i="81" s="1"/>
  <c r="J16" i="81"/>
  <c r="F16" i="81"/>
  <c r="D16" i="81"/>
  <c r="X14" i="81"/>
  <c r="T14" i="81"/>
  <c r="Z14" i="81" s="1"/>
  <c r="P14" i="81"/>
  <c r="N14" i="81"/>
  <c r="L14" i="81"/>
  <c r="H14" i="81"/>
  <c r="F14" i="81"/>
  <c r="D14" i="81"/>
  <c r="T12" i="81"/>
  <c r="P12" i="81"/>
  <c r="L12" i="81"/>
  <c r="H12" i="81"/>
  <c r="J35" i="81" s="1"/>
  <c r="D12" i="81"/>
  <c r="F21" i="81" s="1"/>
  <c r="D6" i="81"/>
  <c r="D4" i="81"/>
  <c r="R32" i="80"/>
  <c r="Z30" i="80"/>
  <c r="X30" i="80"/>
  <c r="R30" i="80"/>
  <c r="N30" i="80"/>
  <c r="L30" i="80"/>
  <c r="J28" i="80"/>
  <c r="H28" i="80"/>
  <c r="Z26" i="80"/>
  <c r="V26" i="80"/>
  <c r="T26" i="80"/>
  <c r="R26" i="80"/>
  <c r="P26" i="80"/>
  <c r="X26" i="80" s="1"/>
  <c r="L26" i="80"/>
  <c r="H26" i="80"/>
  <c r="N26" i="80" s="1"/>
  <c r="D26" i="80"/>
  <c r="Z24" i="80"/>
  <c r="X24" i="80"/>
  <c r="R24" i="80"/>
  <c r="N24" i="80"/>
  <c r="L24" i="80"/>
  <c r="B24" i="80"/>
  <c r="Z23" i="80"/>
  <c r="V23" i="80"/>
  <c r="T23" i="80"/>
  <c r="P23" i="80"/>
  <c r="X23" i="80" s="1"/>
  <c r="L23" i="80"/>
  <c r="J23" i="80"/>
  <c r="H23" i="80"/>
  <c r="N23" i="80" s="1"/>
  <c r="F23" i="80"/>
  <c r="D23" i="80"/>
  <c r="B23" i="80"/>
  <c r="Z22" i="80"/>
  <c r="X22" i="80"/>
  <c r="V22" i="80"/>
  <c r="R22" i="80"/>
  <c r="N22" i="80"/>
  <c r="L22" i="80"/>
  <c r="B22" i="80"/>
  <c r="X21" i="80"/>
  <c r="V21" i="80"/>
  <c r="T21" i="80"/>
  <c r="Z21" i="80" s="1"/>
  <c r="R21" i="80"/>
  <c r="P21" i="80"/>
  <c r="H21" i="80"/>
  <c r="F21" i="80"/>
  <c r="D21" i="80"/>
  <c r="B21" i="80"/>
  <c r="Z20" i="80"/>
  <c r="X20" i="80"/>
  <c r="V20" i="80"/>
  <c r="N20" i="80"/>
  <c r="L20" i="80"/>
  <c r="F20" i="80"/>
  <c r="B20" i="80"/>
  <c r="T19" i="80"/>
  <c r="R19" i="80"/>
  <c r="P19" i="80"/>
  <c r="H19" i="80"/>
  <c r="D19" i="80"/>
  <c r="L19" i="80" s="1"/>
  <c r="N19" i="80" s="1"/>
  <c r="B19" i="80"/>
  <c r="T18" i="80" a="1"/>
  <c r="T18" i="80"/>
  <c r="P18" i="80" a="1"/>
  <c r="P18" i="80" s="1"/>
  <c r="X18" i="80" s="1"/>
  <c r="H18" i="80" a="1"/>
  <c r="H18" i="80"/>
  <c r="N18" i="80" s="1"/>
  <c r="D18" i="80" a="1"/>
  <c r="D18" i="80" s="1"/>
  <c r="L18" i="80" s="1"/>
  <c r="R16" i="80"/>
  <c r="H16" i="80"/>
  <c r="N16" i="80" s="1"/>
  <c r="V14" i="80"/>
  <c r="T14" i="80"/>
  <c r="Z14" i="80" s="1"/>
  <c r="P14" i="80"/>
  <c r="N14" i="80"/>
  <c r="H14" i="80"/>
  <c r="D14" i="80"/>
  <c r="L14" i="80" s="1"/>
  <c r="X12" i="80"/>
  <c r="T12" i="80"/>
  <c r="V18" i="80" s="1"/>
  <c r="P12" i="80"/>
  <c r="R35" i="80" s="1"/>
  <c r="H12" i="80"/>
  <c r="D12" i="80"/>
  <c r="F14" i="80" s="1"/>
  <c r="D6" i="80"/>
  <c r="D4" i="80"/>
  <c r="V39" i="79"/>
  <c r="Z34" i="79"/>
  <c r="X34" i="79"/>
  <c r="N34" i="79"/>
  <c r="L34" i="79"/>
  <c r="V32" i="79"/>
  <c r="R32" i="79"/>
  <c r="X30" i="79"/>
  <c r="T30" i="79"/>
  <c r="Z30" i="79" s="1"/>
  <c r="P30" i="79"/>
  <c r="N30" i="79"/>
  <c r="H30" i="79"/>
  <c r="D30" i="79"/>
  <c r="Z28" i="79"/>
  <c r="X28" i="79"/>
  <c r="V28" i="79"/>
  <c r="N28" i="79"/>
  <c r="L28" i="79"/>
  <c r="B28" i="79"/>
  <c r="X27" i="79"/>
  <c r="T27" i="79"/>
  <c r="Z27" i="79" s="1"/>
  <c r="R27" i="79"/>
  <c r="P27" i="79"/>
  <c r="N27" i="79"/>
  <c r="H27" i="79"/>
  <c r="D27" i="79"/>
  <c r="B27" i="79"/>
  <c r="Z26" i="79"/>
  <c r="X26" i="79"/>
  <c r="N26" i="79"/>
  <c r="L26" i="79"/>
  <c r="J26" i="79"/>
  <c r="F26" i="79"/>
  <c r="B26" i="79"/>
  <c r="Z25" i="79"/>
  <c r="T25" i="79"/>
  <c r="P25" i="79"/>
  <c r="X25" i="79" s="1"/>
  <c r="N25" i="79"/>
  <c r="H25" i="79"/>
  <c r="D25" i="79"/>
  <c r="L25" i="79" s="1"/>
  <c r="B25" i="79"/>
  <c r="Z24" i="79"/>
  <c r="X24" i="79"/>
  <c r="N24" i="79"/>
  <c r="L24" i="79"/>
  <c r="J24" i="79"/>
  <c r="B24" i="79"/>
  <c r="V23" i="79"/>
  <c r="T23" i="79"/>
  <c r="Z23" i="79" s="1"/>
  <c r="P23" i="79"/>
  <c r="X23" i="79" s="1"/>
  <c r="L23" i="79"/>
  <c r="H23" i="79"/>
  <c r="N23" i="79" s="1"/>
  <c r="F23" i="79"/>
  <c r="D23" i="79"/>
  <c r="B23" i="79"/>
  <c r="Z22" i="79"/>
  <c r="X22" i="79"/>
  <c r="V22" i="79"/>
  <c r="L22" i="79"/>
  <c r="N22" i="79" s="1"/>
  <c r="J22" i="79"/>
  <c r="B22" i="79"/>
  <c r="T21" i="79"/>
  <c r="P21" i="79"/>
  <c r="X21" i="79" s="1"/>
  <c r="N21" i="79"/>
  <c r="H21" i="79"/>
  <c r="L21" i="79" s="1"/>
  <c r="D21" i="79"/>
  <c r="B21" i="79"/>
  <c r="Z20" i="79"/>
  <c r="X20" i="79"/>
  <c r="V20" i="79"/>
  <c r="N20" i="79"/>
  <c r="L20" i="79"/>
  <c r="B20" i="79"/>
  <c r="T19" i="79"/>
  <c r="R19" i="79"/>
  <c r="P19" i="79"/>
  <c r="H19" i="79"/>
  <c r="N19" i="79" s="1"/>
  <c r="D19" i="79"/>
  <c r="L19" i="79" s="1"/>
  <c r="B19" i="79"/>
  <c r="Z18" i="79"/>
  <c r="V18" i="79"/>
  <c r="T18" i="79" a="1"/>
  <c r="T18" i="79" s="1"/>
  <c r="P18" i="79" a="1"/>
  <c r="P18" i="79" s="1"/>
  <c r="X18" i="79" s="1"/>
  <c r="N18" i="79"/>
  <c r="L18" i="79"/>
  <c r="H18" i="79" a="1"/>
  <c r="H18" i="79" s="1"/>
  <c r="D18" i="79" a="1"/>
  <c r="D18" i="79" s="1"/>
  <c r="Z16" i="79"/>
  <c r="T16" i="79"/>
  <c r="J16" i="79"/>
  <c r="H16" i="79"/>
  <c r="D16" i="79"/>
  <c r="V14" i="79"/>
  <c r="T14" i="79"/>
  <c r="Z14" i="79" s="1"/>
  <c r="R14" i="79"/>
  <c r="P14" i="79"/>
  <c r="X14" i="79" s="1"/>
  <c r="L14" i="79"/>
  <c r="H14" i="79"/>
  <c r="N14" i="79" s="1"/>
  <c r="F14" i="79"/>
  <c r="D14" i="79"/>
  <c r="Z12" i="79"/>
  <c r="X12" i="79"/>
  <c r="T12" i="79"/>
  <c r="V34" i="79" s="1"/>
  <c r="P12" i="79"/>
  <c r="R16" i="79" s="1"/>
  <c r="H12" i="79"/>
  <c r="J36" i="79" s="1"/>
  <c r="D12" i="79"/>
  <c r="D6" i="79"/>
  <c r="D4" i="79"/>
  <c r="V86" i="78"/>
  <c r="F86" i="78"/>
  <c r="Z84" i="78"/>
  <c r="X84" i="78"/>
  <c r="N84" i="78"/>
  <c r="L84" i="78"/>
  <c r="J84" i="78"/>
  <c r="F84" i="78"/>
  <c r="Z80" i="78"/>
  <c r="X80" i="78"/>
  <c r="V80" i="78"/>
  <c r="R80" i="78"/>
  <c r="P80" i="78"/>
  <c r="N80" i="78"/>
  <c r="D80" i="78"/>
  <c r="L80" i="78" s="1"/>
  <c r="B80" i="78"/>
  <c r="Z79" i="78"/>
  <c r="T79" i="78"/>
  <c r="P79" i="78"/>
  <c r="X79" i="78" s="1"/>
  <c r="N79" i="78"/>
  <c r="J79" i="78"/>
  <c r="H79" i="78"/>
  <c r="X77" i="78"/>
  <c r="Z77" i="78" s="1"/>
  <c r="R77" i="78"/>
  <c r="N77" i="78"/>
  <c r="L77" i="78"/>
  <c r="B77" i="78"/>
  <c r="V76" i="78"/>
  <c r="T76" i="78"/>
  <c r="P76" i="78"/>
  <c r="H76" i="78"/>
  <c r="F76" i="78"/>
  <c r="D76" i="78"/>
  <c r="L76" i="78" s="1"/>
  <c r="B76" i="78"/>
  <c r="Z75" i="78"/>
  <c r="X75" i="78"/>
  <c r="N75" i="78"/>
  <c r="L75" i="78"/>
  <c r="J75" i="78"/>
  <c r="B75" i="78"/>
  <c r="Z74" i="78"/>
  <c r="X74" i="78"/>
  <c r="N74" i="78"/>
  <c r="L74" i="78"/>
  <c r="B74" i="78"/>
  <c r="T73" i="78"/>
  <c r="R73" i="78"/>
  <c r="P73" i="78"/>
  <c r="H73" i="78"/>
  <c r="N73" i="78" s="1"/>
  <c r="D73" i="78"/>
  <c r="L73" i="78" s="1"/>
  <c r="B73" i="78"/>
  <c r="X72" i="78"/>
  <c r="Z72" i="78" s="1"/>
  <c r="N72" i="78"/>
  <c r="L72" i="78"/>
  <c r="J72" i="78"/>
  <c r="F72" i="78"/>
  <c r="B72" i="78"/>
  <c r="T71" i="78"/>
  <c r="P71" i="78"/>
  <c r="X71" i="78" s="1"/>
  <c r="N71" i="78"/>
  <c r="H71" i="78"/>
  <c r="D71" i="78"/>
  <c r="L71" i="78" s="1"/>
  <c r="B71" i="78"/>
  <c r="Z70" i="78"/>
  <c r="X70" i="78"/>
  <c r="N70" i="78"/>
  <c r="L70" i="78"/>
  <c r="B70" i="78"/>
  <c r="Z69" i="78"/>
  <c r="T69" i="78"/>
  <c r="P69" i="78"/>
  <c r="X69" i="78" s="1"/>
  <c r="N69" i="78"/>
  <c r="L69" i="78"/>
  <c r="J69" i="78"/>
  <c r="H69" i="78"/>
  <c r="D69" i="78"/>
  <c r="B69" i="78"/>
  <c r="Z68" i="78"/>
  <c r="X68" i="78"/>
  <c r="V68" i="78"/>
  <c r="R68" i="78"/>
  <c r="N68" i="78"/>
  <c r="L68" i="78"/>
  <c r="B68" i="78"/>
  <c r="Z67" i="78"/>
  <c r="X67" i="78"/>
  <c r="V67" i="78"/>
  <c r="N67" i="78"/>
  <c r="L67" i="78"/>
  <c r="B67" i="78"/>
  <c r="Z66" i="78"/>
  <c r="X66" i="78"/>
  <c r="T66" i="78"/>
  <c r="P66" i="78"/>
  <c r="J66" i="78"/>
  <c r="H66" i="78"/>
  <c r="N66" i="78" s="1"/>
  <c r="D66" i="78"/>
  <c r="B66" i="78"/>
  <c r="Z65" i="78"/>
  <c r="X65" i="78"/>
  <c r="R65" i="78"/>
  <c r="N65" i="78"/>
  <c r="L65" i="78"/>
  <c r="B65" i="78"/>
  <c r="V64" i="78"/>
  <c r="T64" i="78"/>
  <c r="Z64" i="78" s="1"/>
  <c r="P64" i="78"/>
  <c r="X64" i="78" s="1"/>
  <c r="H64" i="78"/>
  <c r="N64" i="78" s="1"/>
  <c r="F64" i="78"/>
  <c r="D64" i="78"/>
  <c r="L64" i="78" s="1"/>
  <c r="B64" i="78"/>
  <c r="Z63" i="78"/>
  <c r="X63" i="78"/>
  <c r="N63" i="78"/>
  <c r="L63" i="78"/>
  <c r="J63" i="78"/>
  <c r="B63" i="78"/>
  <c r="Z62" i="78"/>
  <c r="X62" i="78"/>
  <c r="N62" i="78"/>
  <c r="L62" i="78"/>
  <c r="B62" i="78"/>
  <c r="X61" i="78"/>
  <c r="Z61" i="78" s="1"/>
  <c r="R61" i="78"/>
  <c r="N61" i="78"/>
  <c r="L61" i="78"/>
  <c r="B61" i="78"/>
  <c r="V60" i="78"/>
  <c r="T60" i="78"/>
  <c r="P60" i="78"/>
  <c r="H60" i="78"/>
  <c r="F60" i="78"/>
  <c r="D60" i="78"/>
  <c r="L60" i="78" s="1"/>
  <c r="B60" i="78"/>
  <c r="Z59" i="78"/>
  <c r="X59" i="78"/>
  <c r="N59" i="78"/>
  <c r="L59" i="78"/>
  <c r="J59" i="78"/>
  <c r="B59" i="78"/>
  <c r="Z58" i="78"/>
  <c r="X58" i="78"/>
  <c r="N58" i="78"/>
  <c r="L58" i="78"/>
  <c r="B58" i="78"/>
  <c r="X57" i="78"/>
  <c r="Z57" i="78" s="1"/>
  <c r="R57" i="78"/>
  <c r="N57" i="78"/>
  <c r="L57" i="78"/>
  <c r="B57" i="78"/>
  <c r="Z56" i="78"/>
  <c r="X56" i="78"/>
  <c r="V56" i="78"/>
  <c r="R56" i="78"/>
  <c r="N56" i="78"/>
  <c r="L56" i="78"/>
  <c r="B56" i="78"/>
  <c r="X55" i="78"/>
  <c r="Z55" i="78" s="1"/>
  <c r="V55" i="78"/>
  <c r="T55" i="78"/>
  <c r="P55" i="78"/>
  <c r="H55" i="78"/>
  <c r="F55" i="78"/>
  <c r="D55" i="78"/>
  <c r="B55" i="78"/>
  <c r="Z54" i="78"/>
  <c r="X54" i="78"/>
  <c r="N54" i="78"/>
  <c r="L54" i="78"/>
  <c r="B54" i="78"/>
  <c r="T53" i="78"/>
  <c r="R53" i="78"/>
  <c r="P53" i="78"/>
  <c r="H53" i="78"/>
  <c r="N53" i="78" s="1"/>
  <c r="D53" i="78"/>
  <c r="L53" i="78" s="1"/>
  <c r="B53" i="78"/>
  <c r="X52" i="78"/>
  <c r="Z52" i="78" s="1"/>
  <c r="N52" i="78"/>
  <c r="L52" i="78"/>
  <c r="J52" i="78"/>
  <c r="F52" i="78"/>
  <c r="B52" i="78"/>
  <c r="T51" i="78"/>
  <c r="P51" i="78"/>
  <c r="X51" i="78" s="1"/>
  <c r="N51" i="78"/>
  <c r="H51" i="78"/>
  <c r="D51" i="78"/>
  <c r="L51" i="78" s="1"/>
  <c r="B51" i="78"/>
  <c r="Z50" i="78"/>
  <c r="X50" i="78"/>
  <c r="N50" i="78"/>
  <c r="L50" i="78"/>
  <c r="B50" i="78"/>
  <c r="T49" i="78"/>
  <c r="P49" i="78"/>
  <c r="X49" i="78" s="1"/>
  <c r="Z49" i="78" s="1"/>
  <c r="L49" i="78"/>
  <c r="J49" i="78"/>
  <c r="H49" i="78"/>
  <c r="N49" i="78" s="1"/>
  <c r="D49" i="78"/>
  <c r="B49" i="78"/>
  <c r="Z48" i="78"/>
  <c r="X48" i="78"/>
  <c r="V48" i="78"/>
  <c r="R48" i="78"/>
  <c r="L48" i="78"/>
  <c r="N48" i="78" s="1"/>
  <c r="B48" i="78"/>
  <c r="X47" i="78"/>
  <c r="V47" i="78"/>
  <c r="T47" i="78"/>
  <c r="P47" i="78"/>
  <c r="H47" i="78"/>
  <c r="F47" i="78"/>
  <c r="D47" i="78"/>
  <c r="B47" i="78"/>
  <c r="Z46" i="78"/>
  <c r="X46" i="78"/>
  <c r="N46" i="78"/>
  <c r="L46" i="78"/>
  <c r="B46" i="78"/>
  <c r="T45" i="78"/>
  <c r="R45" i="78"/>
  <c r="P45" i="78"/>
  <c r="H45" i="78"/>
  <c r="N45" i="78" s="1"/>
  <c r="D45" i="78"/>
  <c r="L45" i="78" s="1"/>
  <c r="B45" i="78"/>
  <c r="X44" i="78"/>
  <c r="Z44" i="78" s="1"/>
  <c r="N44" i="78"/>
  <c r="L44" i="78"/>
  <c r="J44" i="78"/>
  <c r="F44" i="78"/>
  <c r="B44" i="78"/>
  <c r="Z43" i="78"/>
  <c r="X43" i="78"/>
  <c r="N43" i="78"/>
  <c r="L43" i="78"/>
  <c r="J43" i="78"/>
  <c r="B43" i="78"/>
  <c r="T42" i="78"/>
  <c r="R42" i="78"/>
  <c r="P42" i="78"/>
  <c r="X42" i="78" s="1"/>
  <c r="Z42" i="78" s="1"/>
  <c r="L42" i="78"/>
  <c r="N42" i="78" s="1"/>
  <c r="H42" i="78"/>
  <c r="F42" i="78"/>
  <c r="D42" i="78"/>
  <c r="B42" i="78"/>
  <c r="Z41" i="78"/>
  <c r="X41" i="78"/>
  <c r="L41" i="78"/>
  <c r="N41" i="78" s="1"/>
  <c r="F41" i="78"/>
  <c r="B41" i="78"/>
  <c r="X40" i="78"/>
  <c r="Z40" i="78" s="1"/>
  <c r="T40" i="78"/>
  <c r="P40" i="78"/>
  <c r="L40" i="78"/>
  <c r="N40" i="78" s="1"/>
  <c r="H40" i="78"/>
  <c r="D40" i="78"/>
  <c r="B40" i="78"/>
  <c r="Z39" i="78"/>
  <c r="X39" i="78"/>
  <c r="V39" i="78"/>
  <c r="N39" i="78"/>
  <c r="L39" i="78"/>
  <c r="F39" i="78"/>
  <c r="B39" i="78"/>
  <c r="Z38" i="78"/>
  <c r="X38" i="78"/>
  <c r="N38" i="78"/>
  <c r="L38" i="78"/>
  <c r="B38" i="78"/>
  <c r="Z37" i="78"/>
  <c r="X37" i="78"/>
  <c r="N37" i="78"/>
  <c r="L37" i="78"/>
  <c r="F37" i="78"/>
  <c r="B37" i="78"/>
  <c r="Z36" i="78"/>
  <c r="X36" i="78"/>
  <c r="N36" i="78"/>
  <c r="L36" i="78"/>
  <c r="J36" i="78"/>
  <c r="F36" i="78"/>
  <c r="B36" i="78"/>
  <c r="Z35" i="78"/>
  <c r="X35" i="78"/>
  <c r="N35" i="78"/>
  <c r="L35" i="78"/>
  <c r="J35" i="78"/>
  <c r="B35" i="78"/>
  <c r="Z34" i="78"/>
  <c r="X34" i="78"/>
  <c r="N34" i="78"/>
  <c r="L34" i="78"/>
  <c r="B34" i="78"/>
  <c r="Z33" i="78"/>
  <c r="X33" i="78"/>
  <c r="R33" i="78"/>
  <c r="N33" i="78"/>
  <c r="L33" i="78"/>
  <c r="B33" i="78"/>
  <c r="Z32" i="78"/>
  <c r="X32" i="78"/>
  <c r="V32" i="78"/>
  <c r="R32" i="78"/>
  <c r="N32" i="78"/>
  <c r="L32" i="78"/>
  <c r="B32" i="78"/>
  <c r="X31" i="78"/>
  <c r="Z31" i="78" s="1"/>
  <c r="V31" i="78"/>
  <c r="N31" i="78"/>
  <c r="L31" i="78"/>
  <c r="F31" i="78"/>
  <c r="B31" i="78"/>
  <c r="X30" i="78"/>
  <c r="Z30" i="78" s="1"/>
  <c r="N30" i="78"/>
  <c r="L30" i="78"/>
  <c r="J30" i="78"/>
  <c r="B30" i="78"/>
  <c r="Z29" i="78"/>
  <c r="T29" i="78"/>
  <c r="P29" i="78"/>
  <c r="X29" i="78" s="1"/>
  <c r="L29" i="78"/>
  <c r="N29" i="78" s="1"/>
  <c r="J29" i="78"/>
  <c r="H29" i="78"/>
  <c r="D29" i="78"/>
  <c r="B29" i="78"/>
  <c r="Z28" i="78"/>
  <c r="X28" i="78"/>
  <c r="V28" i="78"/>
  <c r="R28" i="78"/>
  <c r="L28" i="78"/>
  <c r="N28" i="78" s="1"/>
  <c r="B28" i="78"/>
  <c r="X27" i="78"/>
  <c r="Z27" i="78" s="1"/>
  <c r="V27" i="78"/>
  <c r="N27" i="78"/>
  <c r="L27" i="78"/>
  <c r="F27" i="78"/>
  <c r="B27" i="78"/>
  <c r="Z26" i="78"/>
  <c r="X26" i="78"/>
  <c r="N26" i="78"/>
  <c r="L26" i="78"/>
  <c r="J26" i="78"/>
  <c r="B26" i="78"/>
  <c r="Z25" i="78"/>
  <c r="X25" i="78"/>
  <c r="N25" i="78"/>
  <c r="L25" i="78"/>
  <c r="F25" i="78"/>
  <c r="B25" i="78"/>
  <c r="X24" i="78"/>
  <c r="Z24" i="78" s="1"/>
  <c r="N24" i="78"/>
  <c r="L24" i="78"/>
  <c r="J24" i="78"/>
  <c r="F24" i="78"/>
  <c r="B24" i="78"/>
  <c r="Z23" i="78"/>
  <c r="X23" i="78"/>
  <c r="R23" i="78"/>
  <c r="L23" i="78"/>
  <c r="N23" i="78" s="1"/>
  <c r="J23" i="78"/>
  <c r="B23" i="78"/>
  <c r="Z22" i="78"/>
  <c r="X22" i="78"/>
  <c r="L22" i="78"/>
  <c r="N22" i="78" s="1"/>
  <c r="B22" i="78"/>
  <c r="X21" i="78"/>
  <c r="Z21" i="78" s="1"/>
  <c r="R21" i="78"/>
  <c r="N21" i="78"/>
  <c r="L21" i="78"/>
  <c r="B21" i="78"/>
  <c r="Z20" i="78"/>
  <c r="X20" i="78"/>
  <c r="V20" i="78"/>
  <c r="R20" i="78"/>
  <c r="L20" i="78"/>
  <c r="N20" i="78" s="1"/>
  <c r="B20" i="78"/>
  <c r="X19" i="78"/>
  <c r="Z19" i="78" s="1"/>
  <c r="V19" i="78"/>
  <c r="T19" i="78"/>
  <c r="P19" i="78"/>
  <c r="H19" i="78"/>
  <c r="F19" i="78"/>
  <c r="D19" i="78"/>
  <c r="B19" i="78"/>
  <c r="T18" i="78" a="1"/>
  <c r="T18" i="78"/>
  <c r="R18" i="78"/>
  <c r="P18" i="78" a="1"/>
  <c r="P18" i="78" s="1"/>
  <c r="X18" i="78" s="1"/>
  <c r="J18" i="78"/>
  <c r="H18" i="78" a="1"/>
  <c r="H18" i="78"/>
  <c r="F18" i="78"/>
  <c r="D18" i="78" a="1"/>
  <c r="D18" i="78" s="1"/>
  <c r="L18" i="78" s="1"/>
  <c r="R16" i="78"/>
  <c r="P16" i="78"/>
  <c r="F16" i="78"/>
  <c r="D16" i="78"/>
  <c r="Z14" i="78"/>
  <c r="X14" i="78"/>
  <c r="T14" i="78"/>
  <c r="P14" i="78"/>
  <c r="J14" i="78"/>
  <c r="H14" i="78"/>
  <c r="F14" i="78"/>
  <c r="D14" i="78"/>
  <c r="T12" i="78"/>
  <c r="V70" i="78" s="1"/>
  <c r="P12" i="78"/>
  <c r="R86" i="78" s="1"/>
  <c r="N12" i="78"/>
  <c r="L12" i="78"/>
  <c r="H12" i="78"/>
  <c r="J89" i="78" s="1"/>
  <c r="D12" i="78"/>
  <c r="F75" i="78" s="1"/>
  <c r="D6" i="78"/>
  <c r="D4" i="78"/>
  <c r="V33" i="77"/>
  <c r="F33" i="77"/>
  <c r="R30" i="77"/>
  <c r="Z28" i="77"/>
  <c r="X28" i="77"/>
  <c r="V28" i="77"/>
  <c r="R28" i="77"/>
  <c r="N28" i="77"/>
  <c r="L28" i="77"/>
  <c r="V26" i="77"/>
  <c r="Z24" i="77"/>
  <c r="T24" i="77"/>
  <c r="R24" i="77"/>
  <c r="P24" i="77"/>
  <c r="X24" i="77" s="1"/>
  <c r="N24" i="77"/>
  <c r="L24" i="77"/>
  <c r="H24" i="77"/>
  <c r="D24" i="77"/>
  <c r="Z22" i="77"/>
  <c r="X22" i="77"/>
  <c r="V22" i="77"/>
  <c r="R22" i="77"/>
  <c r="N22" i="77"/>
  <c r="L22" i="77"/>
  <c r="B22" i="77"/>
  <c r="Z21" i="77"/>
  <c r="X21" i="77"/>
  <c r="V21" i="77"/>
  <c r="T21" i="77"/>
  <c r="P21" i="77"/>
  <c r="H21" i="77"/>
  <c r="F21" i="77"/>
  <c r="D21" i="77"/>
  <c r="B21" i="77"/>
  <c r="Z20" i="77"/>
  <c r="X20" i="77"/>
  <c r="V20" i="77"/>
  <c r="R20" i="77"/>
  <c r="N20" i="77"/>
  <c r="L20" i="77"/>
  <c r="B20" i="77"/>
  <c r="V19" i="77"/>
  <c r="T19" i="77"/>
  <c r="R19" i="77"/>
  <c r="P19" i="77"/>
  <c r="H19" i="77"/>
  <c r="N19" i="77" s="1"/>
  <c r="D19" i="77"/>
  <c r="L19" i="77" s="1"/>
  <c r="B19" i="77"/>
  <c r="T18" i="77" a="1"/>
  <c r="T18" i="77"/>
  <c r="Z18" i="77" s="1"/>
  <c r="R18" i="77"/>
  <c r="P18" i="77" a="1"/>
  <c r="P18" i="77" s="1"/>
  <c r="X18" i="77" s="1"/>
  <c r="H18" i="77" a="1"/>
  <c r="H18" i="77"/>
  <c r="N18" i="77" s="1"/>
  <c r="D18" i="77" a="1"/>
  <c r="D18" i="77" s="1"/>
  <c r="L18" i="77" s="1"/>
  <c r="R16" i="77"/>
  <c r="P16" i="77"/>
  <c r="V14" i="77"/>
  <c r="T14" i="77"/>
  <c r="R14" i="77"/>
  <c r="P14" i="77"/>
  <c r="H14" i="77"/>
  <c r="N14" i="77" s="1"/>
  <c r="D14" i="77"/>
  <c r="L14" i="77" s="1"/>
  <c r="Z12" i="77"/>
  <c r="T12" i="77"/>
  <c r="V30" i="77" s="1"/>
  <c r="P12" i="77"/>
  <c r="R33" i="77" s="1"/>
  <c r="H12" i="77"/>
  <c r="D12" i="77"/>
  <c r="F14" i="77" s="1"/>
  <c r="D6" i="77"/>
  <c r="D4" i="77"/>
  <c r="X96" i="76"/>
  <c r="Z96" i="76" s="1"/>
  <c r="L96" i="76"/>
  <c r="N96" i="76" s="1"/>
  <c r="Z92" i="76"/>
  <c r="X92" i="76"/>
  <c r="P92" i="76"/>
  <c r="N92" i="76"/>
  <c r="D92" i="76"/>
  <c r="B92" i="76"/>
  <c r="T91" i="76"/>
  <c r="Z91" i="76" s="1"/>
  <c r="P91" i="76"/>
  <c r="X91" i="76" s="1"/>
  <c r="N91" i="76"/>
  <c r="H91" i="76"/>
  <c r="X89" i="76"/>
  <c r="Z89" i="76" s="1"/>
  <c r="V89" i="76"/>
  <c r="N89" i="76"/>
  <c r="L89" i="76"/>
  <c r="B89" i="76"/>
  <c r="X88" i="76"/>
  <c r="Z88" i="76" s="1"/>
  <c r="T88" i="76"/>
  <c r="P88" i="76"/>
  <c r="H88" i="76"/>
  <c r="D88" i="76"/>
  <c r="B88" i="76"/>
  <c r="X87" i="76"/>
  <c r="Z87" i="76" s="1"/>
  <c r="N87" i="76"/>
  <c r="L87" i="76"/>
  <c r="B87" i="76"/>
  <c r="T86" i="76"/>
  <c r="P86" i="76"/>
  <c r="H86" i="76"/>
  <c r="N86" i="76" s="1"/>
  <c r="D86" i="76"/>
  <c r="L86" i="76" s="1"/>
  <c r="B86" i="76"/>
  <c r="X85" i="76"/>
  <c r="Z85" i="76" s="1"/>
  <c r="N85" i="76"/>
  <c r="L85" i="76"/>
  <c r="B85" i="76"/>
  <c r="T84" i="76"/>
  <c r="Z84" i="76" s="1"/>
  <c r="P84" i="76"/>
  <c r="X84" i="76" s="1"/>
  <c r="N84" i="76"/>
  <c r="H84" i="76"/>
  <c r="D84" i="76"/>
  <c r="L84" i="76" s="1"/>
  <c r="B84" i="76"/>
  <c r="Z83" i="76"/>
  <c r="X83" i="76"/>
  <c r="L83" i="76"/>
  <c r="N83" i="76" s="1"/>
  <c r="B83" i="76"/>
  <c r="T82" i="76"/>
  <c r="P82" i="76"/>
  <c r="X82" i="76" s="1"/>
  <c r="Z82" i="76" s="1"/>
  <c r="N82" i="76"/>
  <c r="L82" i="76"/>
  <c r="H82" i="76"/>
  <c r="D82" i="76"/>
  <c r="B82" i="76"/>
  <c r="X81" i="76"/>
  <c r="Z81" i="76" s="1"/>
  <c r="V81" i="76"/>
  <c r="N81" i="76"/>
  <c r="L81" i="76"/>
  <c r="B81" i="76"/>
  <c r="Z80" i="76"/>
  <c r="X80" i="76"/>
  <c r="N80" i="76"/>
  <c r="L80" i="76"/>
  <c r="B80" i="76"/>
  <c r="Z79" i="76"/>
  <c r="X79" i="76"/>
  <c r="L79" i="76"/>
  <c r="N79" i="76" s="1"/>
  <c r="B79" i="76"/>
  <c r="Z78" i="76"/>
  <c r="X78" i="76"/>
  <c r="N78" i="76"/>
  <c r="L78" i="76"/>
  <c r="B78" i="76"/>
  <c r="Z77" i="76"/>
  <c r="X77" i="76"/>
  <c r="L77" i="76"/>
  <c r="N77" i="76" s="1"/>
  <c r="B77" i="76"/>
  <c r="X76" i="76"/>
  <c r="Z76" i="76" s="1"/>
  <c r="N76" i="76"/>
  <c r="L76" i="76"/>
  <c r="B76" i="76"/>
  <c r="X75" i="76"/>
  <c r="Z75" i="76" s="1"/>
  <c r="N75" i="76"/>
  <c r="L75" i="76"/>
  <c r="B75" i="76"/>
  <c r="Z74" i="76"/>
  <c r="X74" i="76"/>
  <c r="V74" i="76"/>
  <c r="N74" i="76"/>
  <c r="L74" i="76"/>
  <c r="B74" i="76"/>
  <c r="Z73" i="76"/>
  <c r="X73" i="76"/>
  <c r="V73" i="76"/>
  <c r="N73" i="76"/>
  <c r="L73" i="76"/>
  <c r="B73" i="76"/>
  <c r="X72" i="76"/>
  <c r="Z72" i="76" s="1"/>
  <c r="T72" i="76"/>
  <c r="P72" i="76"/>
  <c r="J72" i="76"/>
  <c r="H72" i="76"/>
  <c r="D72" i="76"/>
  <c r="B72" i="76"/>
  <c r="X71" i="76"/>
  <c r="Z71" i="76" s="1"/>
  <c r="N71" i="76"/>
  <c r="L71" i="76"/>
  <c r="B71" i="76"/>
  <c r="V70" i="76"/>
  <c r="T70" i="76"/>
  <c r="P70" i="76"/>
  <c r="H70" i="76"/>
  <c r="N70" i="76" s="1"/>
  <c r="D70" i="76"/>
  <c r="L70" i="76" s="1"/>
  <c r="B70" i="76"/>
  <c r="Z69" i="76"/>
  <c r="X69" i="76"/>
  <c r="L69" i="76"/>
  <c r="N69" i="76" s="1"/>
  <c r="B69" i="76"/>
  <c r="X68" i="76"/>
  <c r="Z68" i="76" s="1"/>
  <c r="N68" i="76"/>
  <c r="L68" i="76"/>
  <c r="B68" i="76"/>
  <c r="Z67" i="76"/>
  <c r="X67" i="76"/>
  <c r="N67" i="76"/>
  <c r="L67" i="76"/>
  <c r="B67" i="76"/>
  <c r="Z66" i="76"/>
  <c r="X66" i="76"/>
  <c r="V66" i="76"/>
  <c r="L66" i="76"/>
  <c r="N66" i="76" s="1"/>
  <c r="B66" i="76"/>
  <c r="X65" i="76"/>
  <c r="Z65" i="76" s="1"/>
  <c r="V65" i="76"/>
  <c r="T65" i="76"/>
  <c r="P65" i="76"/>
  <c r="H65" i="76"/>
  <c r="D65" i="76"/>
  <c r="B65" i="76"/>
  <c r="X64" i="76"/>
  <c r="Z64" i="76" s="1"/>
  <c r="N64" i="76"/>
  <c r="L64" i="76"/>
  <c r="B64" i="76"/>
  <c r="X63" i="76"/>
  <c r="Z63" i="76" s="1"/>
  <c r="N63" i="76"/>
  <c r="L63" i="76"/>
  <c r="B63" i="76"/>
  <c r="V62" i="76"/>
  <c r="T62" i="76"/>
  <c r="P62" i="76"/>
  <c r="X62" i="76" s="1"/>
  <c r="H62" i="76"/>
  <c r="D62" i="76"/>
  <c r="L62" i="76" s="1"/>
  <c r="N62" i="76" s="1"/>
  <c r="B62" i="76"/>
  <c r="Z61" i="76"/>
  <c r="X61" i="76"/>
  <c r="L61" i="76"/>
  <c r="N61" i="76" s="1"/>
  <c r="B61" i="76"/>
  <c r="T60" i="76"/>
  <c r="P60" i="76"/>
  <c r="X60" i="76" s="1"/>
  <c r="Z60" i="76" s="1"/>
  <c r="L60" i="76"/>
  <c r="H60" i="76"/>
  <c r="N60" i="76" s="1"/>
  <c r="D60" i="76"/>
  <c r="B60" i="76"/>
  <c r="Z59" i="76"/>
  <c r="X59" i="76"/>
  <c r="N59" i="76"/>
  <c r="L59" i="76"/>
  <c r="B59" i="76"/>
  <c r="X58" i="76"/>
  <c r="T58" i="76"/>
  <c r="Z58" i="76" s="1"/>
  <c r="P58" i="76"/>
  <c r="N58" i="76"/>
  <c r="L58" i="76"/>
  <c r="H58" i="76"/>
  <c r="D58" i="76"/>
  <c r="B58" i="76"/>
  <c r="X57" i="76"/>
  <c r="Z57" i="76" s="1"/>
  <c r="V57" i="76"/>
  <c r="N57" i="76"/>
  <c r="L57" i="76"/>
  <c r="B57" i="76"/>
  <c r="Z56" i="76"/>
  <c r="X56" i="76"/>
  <c r="T56" i="76"/>
  <c r="P56" i="76"/>
  <c r="H56" i="76"/>
  <c r="D56" i="76"/>
  <c r="B56" i="76"/>
  <c r="X55" i="76"/>
  <c r="Z55" i="76" s="1"/>
  <c r="N55" i="76"/>
  <c r="L55" i="76"/>
  <c r="B55" i="76"/>
  <c r="Z54" i="76"/>
  <c r="X54" i="76"/>
  <c r="V54" i="76"/>
  <c r="N54" i="76"/>
  <c r="L54" i="76"/>
  <c r="B54" i="76"/>
  <c r="X53" i="76"/>
  <c r="Z53" i="76" s="1"/>
  <c r="V53" i="76"/>
  <c r="T53" i="76"/>
  <c r="P53" i="76"/>
  <c r="H53" i="76"/>
  <c r="D53" i="76"/>
  <c r="B53" i="76"/>
  <c r="Z52" i="76"/>
  <c r="X52" i="76"/>
  <c r="N52" i="76"/>
  <c r="L52" i="76"/>
  <c r="B52" i="76"/>
  <c r="T51" i="76"/>
  <c r="P51" i="76"/>
  <c r="H51" i="76"/>
  <c r="N51" i="76" s="1"/>
  <c r="D51" i="76"/>
  <c r="L51" i="76" s="1"/>
  <c r="B51" i="76"/>
  <c r="Z50" i="76"/>
  <c r="X50" i="76"/>
  <c r="N50" i="76"/>
  <c r="L50" i="76"/>
  <c r="B50" i="76"/>
  <c r="T49" i="76"/>
  <c r="Z49" i="76" s="1"/>
  <c r="P49" i="76"/>
  <c r="X49" i="76" s="1"/>
  <c r="N49" i="76"/>
  <c r="H49" i="76"/>
  <c r="D49" i="76"/>
  <c r="L49" i="76" s="1"/>
  <c r="B49" i="76"/>
  <c r="Z48" i="76"/>
  <c r="X48" i="76"/>
  <c r="N48" i="76"/>
  <c r="L48" i="76"/>
  <c r="B48" i="76"/>
  <c r="Z47" i="76"/>
  <c r="T47" i="76"/>
  <c r="P47" i="76"/>
  <c r="X47" i="76" s="1"/>
  <c r="N47" i="76"/>
  <c r="L47" i="76"/>
  <c r="H47" i="76"/>
  <c r="D47" i="76"/>
  <c r="B47" i="76"/>
  <c r="Z46" i="76"/>
  <c r="X46" i="76"/>
  <c r="V46" i="76"/>
  <c r="N46" i="76"/>
  <c r="L46" i="76"/>
  <c r="B46" i="76"/>
  <c r="Z45" i="76"/>
  <c r="X45" i="76"/>
  <c r="V45" i="76"/>
  <c r="N45" i="76"/>
  <c r="L45" i="76"/>
  <c r="B45" i="76"/>
  <c r="X44" i="76"/>
  <c r="Z44" i="76" s="1"/>
  <c r="N44" i="76"/>
  <c r="L44" i="76"/>
  <c r="B44" i="76"/>
  <c r="Z43" i="76"/>
  <c r="X43" i="76"/>
  <c r="N43" i="76"/>
  <c r="L43" i="76"/>
  <c r="B43" i="76"/>
  <c r="Z42" i="76"/>
  <c r="X42" i="76"/>
  <c r="N42" i="76"/>
  <c r="L42" i="76"/>
  <c r="B42" i="76"/>
  <c r="Z41" i="76"/>
  <c r="X41" i="76"/>
  <c r="L41" i="76"/>
  <c r="N41" i="76" s="1"/>
  <c r="B41" i="76"/>
  <c r="Z40" i="76"/>
  <c r="X40" i="76"/>
  <c r="N40" i="76"/>
  <c r="L40" i="76"/>
  <c r="B40" i="76"/>
  <c r="Z39" i="76"/>
  <c r="X39" i="76"/>
  <c r="N39" i="76"/>
  <c r="L39" i="76"/>
  <c r="B39" i="76"/>
  <c r="Z38" i="76"/>
  <c r="X38" i="76"/>
  <c r="V38" i="76"/>
  <c r="L38" i="76"/>
  <c r="N38" i="76" s="1"/>
  <c r="B38" i="76"/>
  <c r="Z37" i="76"/>
  <c r="X37" i="76"/>
  <c r="V37" i="76"/>
  <c r="N37" i="76"/>
  <c r="L37" i="76"/>
  <c r="B37" i="76"/>
  <c r="Z36" i="76"/>
  <c r="X36" i="76"/>
  <c r="T36" i="76"/>
  <c r="P36" i="76"/>
  <c r="H36" i="76"/>
  <c r="D36" i="76"/>
  <c r="B36" i="76"/>
  <c r="Z35" i="76"/>
  <c r="X35" i="76"/>
  <c r="N35" i="76"/>
  <c r="L35" i="76"/>
  <c r="B35" i="76"/>
  <c r="Z34" i="76"/>
  <c r="X34" i="76"/>
  <c r="V34" i="76"/>
  <c r="L34" i="76"/>
  <c r="N34" i="76" s="1"/>
  <c r="B34" i="76"/>
  <c r="X33" i="76"/>
  <c r="Z33" i="76" s="1"/>
  <c r="V33" i="76"/>
  <c r="N33" i="76"/>
  <c r="L33" i="76"/>
  <c r="B33" i="76"/>
  <c r="Z32" i="76"/>
  <c r="X32" i="76"/>
  <c r="N32" i="76"/>
  <c r="L32" i="76"/>
  <c r="B32" i="76"/>
  <c r="Z31" i="76"/>
  <c r="X31" i="76"/>
  <c r="L31" i="76"/>
  <c r="N31" i="76" s="1"/>
  <c r="B31" i="76"/>
  <c r="X30" i="76"/>
  <c r="Z30" i="76" s="1"/>
  <c r="N30" i="76"/>
  <c r="L30" i="76"/>
  <c r="B30" i="76"/>
  <c r="Z29" i="76"/>
  <c r="X29" i="76"/>
  <c r="L29" i="76"/>
  <c r="N29" i="76" s="1"/>
  <c r="B29" i="76"/>
  <c r="Z28" i="76"/>
  <c r="X28" i="76"/>
  <c r="N28" i="76"/>
  <c r="L28" i="76"/>
  <c r="B28" i="76"/>
  <c r="X27" i="76"/>
  <c r="Z27" i="76" s="1"/>
  <c r="N27" i="76"/>
  <c r="L27" i="76"/>
  <c r="B27" i="76"/>
  <c r="V26" i="76"/>
  <c r="T26" i="76"/>
  <c r="P26" i="76"/>
  <c r="H26" i="76"/>
  <c r="N26" i="76" s="1"/>
  <c r="D26" i="76"/>
  <c r="L26" i="76" s="1"/>
  <c r="B26" i="76"/>
  <c r="T25" i="76" a="1"/>
  <c r="T25" i="76" s="1"/>
  <c r="P25" i="76" a="1"/>
  <c r="P25" i="76" s="1"/>
  <c r="H25" i="76" a="1"/>
  <c r="H25" i="76" s="1"/>
  <c r="D25" i="76" a="1"/>
  <c r="D25" i="76" s="1"/>
  <c r="L25" i="76" s="1"/>
  <c r="T23" i="76"/>
  <c r="Z21" i="76"/>
  <c r="X21" i="76"/>
  <c r="V21" i="76"/>
  <c r="N21" i="76"/>
  <c r="L21" i="76"/>
  <c r="B21" i="76"/>
  <c r="Z20" i="76"/>
  <c r="X20" i="76"/>
  <c r="N20" i="76"/>
  <c r="L20" i="76"/>
  <c r="B20" i="76"/>
  <c r="Z19" i="76"/>
  <c r="X19" i="76"/>
  <c r="L19" i="76"/>
  <c r="N19" i="76" s="1"/>
  <c r="B19" i="76"/>
  <c r="T18" i="76"/>
  <c r="Z18" i="76" s="1"/>
  <c r="P18" i="76"/>
  <c r="X18" i="76" s="1"/>
  <c r="L18" i="76"/>
  <c r="N18" i="76" s="1"/>
  <c r="H18" i="76"/>
  <c r="D18" i="76"/>
  <c r="Z16" i="76"/>
  <c r="P16" i="76"/>
  <c r="X16" i="76" s="1"/>
  <c r="N16" i="76"/>
  <c r="D16" i="76"/>
  <c r="L16" i="76" s="1"/>
  <c r="B16" i="76"/>
  <c r="X15" i="76"/>
  <c r="Z15" i="76" s="1"/>
  <c r="P15" i="76"/>
  <c r="N15" i="76"/>
  <c r="L15" i="76"/>
  <c r="D15" i="76"/>
  <c r="B15" i="76"/>
  <c r="Z14" i="76"/>
  <c r="P14" i="76"/>
  <c r="N14" i="76"/>
  <c r="D14" i="76"/>
  <c r="L14" i="76" s="1"/>
  <c r="B14" i="76"/>
  <c r="Z13" i="76"/>
  <c r="X13" i="76"/>
  <c r="P13" i="76"/>
  <c r="D13" i="76"/>
  <c r="B13" i="76"/>
  <c r="T12" i="76"/>
  <c r="H12" i="76"/>
  <c r="D6" i="76"/>
  <c r="D4" i="76"/>
  <c r="Z34" i="75"/>
  <c r="X34" i="75"/>
  <c r="N34" i="75"/>
  <c r="L34" i="75"/>
  <c r="Z30" i="75"/>
  <c r="X30" i="75"/>
  <c r="T30" i="75"/>
  <c r="P30" i="75"/>
  <c r="H30" i="75"/>
  <c r="N30" i="75" s="1"/>
  <c r="D30" i="75"/>
  <c r="Z28" i="75"/>
  <c r="X28" i="75"/>
  <c r="V28" i="75"/>
  <c r="N28" i="75"/>
  <c r="L28" i="75"/>
  <c r="B28" i="75"/>
  <c r="X27" i="75"/>
  <c r="T27" i="75"/>
  <c r="Z27" i="75" s="1"/>
  <c r="P27" i="75"/>
  <c r="H27" i="75"/>
  <c r="N27" i="75" s="1"/>
  <c r="D27" i="75"/>
  <c r="L27" i="75" s="1"/>
  <c r="B27" i="75"/>
  <c r="X26" i="75"/>
  <c r="Z26" i="75" s="1"/>
  <c r="N26" i="75"/>
  <c r="L26" i="75"/>
  <c r="J26" i="75"/>
  <c r="B26" i="75"/>
  <c r="T25" i="75"/>
  <c r="P25" i="75"/>
  <c r="H25" i="75"/>
  <c r="D25" i="75"/>
  <c r="L25" i="75" s="1"/>
  <c r="N25" i="75" s="1"/>
  <c r="B25" i="75"/>
  <c r="X24" i="75"/>
  <c r="T24" i="75" a="1"/>
  <c r="T24" i="75" s="1"/>
  <c r="P24" i="75" a="1"/>
  <c r="P24" i="75" s="1"/>
  <c r="L24" i="75"/>
  <c r="H24" i="75" a="1"/>
  <c r="H24" i="75" s="1"/>
  <c r="N24" i="75" s="1"/>
  <c r="D24" i="75" a="1"/>
  <c r="D24" i="75" s="1"/>
  <c r="V22" i="75"/>
  <c r="T22" i="75"/>
  <c r="Z20" i="75"/>
  <c r="X20" i="75"/>
  <c r="V20" i="75"/>
  <c r="N20" i="75"/>
  <c r="L20" i="75"/>
  <c r="J20" i="75"/>
  <c r="B20" i="75"/>
  <c r="Z19" i="75"/>
  <c r="X19" i="75"/>
  <c r="N19" i="75"/>
  <c r="L19" i="75"/>
  <c r="J19" i="75"/>
  <c r="B19" i="75"/>
  <c r="Z18" i="75"/>
  <c r="X18" i="75"/>
  <c r="V18" i="75"/>
  <c r="L18" i="75"/>
  <c r="N18" i="75" s="1"/>
  <c r="J18" i="75"/>
  <c r="B18" i="75"/>
  <c r="V17" i="75"/>
  <c r="T17" i="75"/>
  <c r="P17" i="75"/>
  <c r="X17" i="75" s="1"/>
  <c r="H17" i="75"/>
  <c r="D17" i="75"/>
  <c r="Z15" i="75"/>
  <c r="X15" i="75"/>
  <c r="P15" i="75"/>
  <c r="N15" i="75"/>
  <c r="D15" i="75"/>
  <c r="L15" i="75" s="1"/>
  <c r="B15" i="75"/>
  <c r="Z14" i="75"/>
  <c r="P14" i="75"/>
  <c r="X14" i="75" s="1"/>
  <c r="N14" i="75"/>
  <c r="D14" i="75"/>
  <c r="L14" i="75" s="1"/>
  <c r="B14" i="75"/>
  <c r="P13" i="75"/>
  <c r="X13" i="75" s="1"/>
  <c r="Z13" i="75" s="1"/>
  <c r="N13" i="75"/>
  <c r="L13" i="75"/>
  <c r="D13" i="75"/>
  <c r="B13" i="75"/>
  <c r="T12" i="75"/>
  <c r="H12" i="75"/>
  <c r="D6" i="75"/>
  <c r="D4" i="75"/>
  <c r="X92" i="74"/>
  <c r="Z92" i="74" s="1"/>
  <c r="L92" i="74"/>
  <c r="N92" i="74" s="1"/>
  <c r="V88" i="74"/>
  <c r="T88" i="74"/>
  <c r="Z88" i="74" s="1"/>
  <c r="P88" i="74"/>
  <c r="X88" i="74" s="1"/>
  <c r="H88" i="74"/>
  <c r="L88" i="74" s="1"/>
  <c r="D88" i="74"/>
  <c r="X86" i="74"/>
  <c r="Z86" i="74" s="1"/>
  <c r="L86" i="74"/>
  <c r="N86" i="74" s="1"/>
  <c r="B86" i="74"/>
  <c r="X85" i="74"/>
  <c r="Z85" i="74" s="1"/>
  <c r="T85" i="74"/>
  <c r="P85" i="74"/>
  <c r="H85" i="74"/>
  <c r="D85" i="74"/>
  <c r="B85" i="74"/>
  <c r="Z84" i="74"/>
  <c r="X84" i="74"/>
  <c r="N84" i="74"/>
  <c r="L84" i="74"/>
  <c r="B84" i="74"/>
  <c r="Z83" i="74"/>
  <c r="X83" i="74"/>
  <c r="N83" i="74"/>
  <c r="L83" i="74"/>
  <c r="B83" i="74"/>
  <c r="X82" i="74"/>
  <c r="T82" i="74"/>
  <c r="P82" i="74"/>
  <c r="H82" i="74"/>
  <c r="D82" i="74"/>
  <c r="L82" i="74" s="1"/>
  <c r="N82" i="74" s="1"/>
  <c r="B82" i="74"/>
  <c r="Z81" i="74"/>
  <c r="X81" i="74"/>
  <c r="N81" i="74"/>
  <c r="L81" i="74"/>
  <c r="B81" i="74"/>
  <c r="T80" i="74"/>
  <c r="P80" i="74"/>
  <c r="J80" i="74"/>
  <c r="H80" i="74"/>
  <c r="D80" i="74"/>
  <c r="L80" i="74" s="1"/>
  <c r="B80" i="74"/>
  <c r="Z79" i="74"/>
  <c r="X79" i="74"/>
  <c r="N79" i="74"/>
  <c r="L79" i="74"/>
  <c r="B79" i="74"/>
  <c r="X78" i="74"/>
  <c r="Z78" i="74" s="1"/>
  <c r="L78" i="74"/>
  <c r="N78" i="74" s="1"/>
  <c r="B78" i="74"/>
  <c r="Z77" i="74"/>
  <c r="X77" i="74"/>
  <c r="L77" i="74"/>
  <c r="N77" i="74" s="1"/>
  <c r="B77" i="74"/>
  <c r="T76" i="74"/>
  <c r="P76" i="74"/>
  <c r="H76" i="74"/>
  <c r="D76" i="74"/>
  <c r="L76" i="74" s="1"/>
  <c r="B76" i="74"/>
  <c r="Z75" i="74"/>
  <c r="X75" i="74"/>
  <c r="N75" i="74"/>
  <c r="L75" i="74"/>
  <c r="B75" i="74"/>
  <c r="X74" i="74"/>
  <c r="Z74" i="74" s="1"/>
  <c r="N74" i="74"/>
  <c r="L74" i="74"/>
  <c r="B74" i="74"/>
  <c r="X73" i="74"/>
  <c r="Z73" i="74" s="1"/>
  <c r="T73" i="74"/>
  <c r="P73" i="74"/>
  <c r="H73" i="74"/>
  <c r="D73" i="74"/>
  <c r="B73" i="74"/>
  <c r="Z72" i="74"/>
  <c r="X72" i="74"/>
  <c r="N72" i="74"/>
  <c r="L72" i="74"/>
  <c r="B72" i="74"/>
  <c r="Z71" i="74"/>
  <c r="X71" i="74"/>
  <c r="N71" i="74"/>
  <c r="L71" i="74"/>
  <c r="J71" i="74"/>
  <c r="B71" i="74"/>
  <c r="X70" i="74"/>
  <c r="T70" i="74"/>
  <c r="P70" i="74"/>
  <c r="H70" i="74"/>
  <c r="D70" i="74"/>
  <c r="B70" i="74"/>
  <c r="Z69" i="74"/>
  <c r="X69" i="74"/>
  <c r="N69" i="74"/>
  <c r="L69" i="74"/>
  <c r="B69" i="74"/>
  <c r="Z68" i="74"/>
  <c r="X68" i="74"/>
  <c r="N68" i="74"/>
  <c r="L68" i="74"/>
  <c r="B68" i="74"/>
  <c r="T67" i="74"/>
  <c r="P67" i="74"/>
  <c r="H67" i="74"/>
  <c r="D67" i="74"/>
  <c r="L67" i="74" s="1"/>
  <c r="N67" i="74" s="1"/>
  <c r="B67" i="74"/>
  <c r="X66" i="74"/>
  <c r="Z66" i="74" s="1"/>
  <c r="L66" i="74"/>
  <c r="N66" i="74" s="1"/>
  <c r="B66" i="74"/>
  <c r="X65" i="74"/>
  <c r="Z65" i="74" s="1"/>
  <c r="T65" i="74"/>
  <c r="P65" i="74"/>
  <c r="J65" i="74"/>
  <c r="H65" i="74"/>
  <c r="D65" i="74"/>
  <c r="B65" i="74"/>
  <c r="Z64" i="74"/>
  <c r="X64" i="74"/>
  <c r="N64" i="74"/>
  <c r="L64" i="74"/>
  <c r="B64" i="74"/>
  <c r="T63" i="74"/>
  <c r="P63" i="74"/>
  <c r="X63" i="74" s="1"/>
  <c r="N63" i="74"/>
  <c r="H63" i="74"/>
  <c r="D63" i="74"/>
  <c r="L63" i="74" s="1"/>
  <c r="B63" i="74"/>
  <c r="X62" i="74"/>
  <c r="Z62" i="74" s="1"/>
  <c r="V62" i="74"/>
  <c r="L62" i="74"/>
  <c r="N62" i="74" s="1"/>
  <c r="B62" i="74"/>
  <c r="T61" i="74"/>
  <c r="P61" i="74"/>
  <c r="X61" i="74" s="1"/>
  <c r="Z61" i="74" s="1"/>
  <c r="H61" i="74"/>
  <c r="D61" i="74"/>
  <c r="L61" i="74" s="1"/>
  <c r="B61" i="74"/>
  <c r="Z60" i="74"/>
  <c r="X60" i="74"/>
  <c r="N60" i="74"/>
  <c r="L60" i="74"/>
  <c r="B60" i="74"/>
  <c r="T59" i="74"/>
  <c r="P59" i="74"/>
  <c r="L59" i="74"/>
  <c r="N59" i="74" s="1"/>
  <c r="H59" i="74"/>
  <c r="D59" i="74"/>
  <c r="B59" i="74"/>
  <c r="Z58" i="74"/>
  <c r="X58" i="74"/>
  <c r="N58" i="74"/>
  <c r="L58" i="74"/>
  <c r="B58" i="74"/>
  <c r="Z57" i="74"/>
  <c r="X57" i="74"/>
  <c r="N57" i="74"/>
  <c r="L57" i="74"/>
  <c r="B57" i="74"/>
  <c r="Z56" i="74"/>
  <c r="T56" i="74"/>
  <c r="X56" i="74" s="1"/>
  <c r="P56" i="74"/>
  <c r="H56" i="74"/>
  <c r="N56" i="74" s="1"/>
  <c r="D56" i="74"/>
  <c r="L56" i="74" s="1"/>
  <c r="B56" i="74"/>
  <c r="Z55" i="74"/>
  <c r="X55" i="74"/>
  <c r="N55" i="74"/>
  <c r="L55" i="74"/>
  <c r="J55" i="74"/>
  <c r="B55" i="74"/>
  <c r="X54" i="74"/>
  <c r="T54" i="74"/>
  <c r="P54" i="74"/>
  <c r="H54" i="74"/>
  <c r="D54" i="74"/>
  <c r="B54" i="74"/>
  <c r="Z53" i="74"/>
  <c r="X53" i="74"/>
  <c r="L53" i="74"/>
  <c r="N53" i="74" s="1"/>
  <c r="B53" i="74"/>
  <c r="T52" i="74"/>
  <c r="P52" i="74"/>
  <c r="X52" i="74" s="1"/>
  <c r="Z52" i="74" s="1"/>
  <c r="H52" i="74"/>
  <c r="D52" i="74"/>
  <c r="L52" i="74" s="1"/>
  <c r="B52" i="74"/>
  <c r="Z51" i="74"/>
  <c r="X51" i="74"/>
  <c r="N51" i="74"/>
  <c r="L51" i="74"/>
  <c r="B51" i="74"/>
  <c r="X50" i="74"/>
  <c r="T50" i="74"/>
  <c r="P50" i="74"/>
  <c r="H50" i="74"/>
  <c r="D50" i="74"/>
  <c r="B50" i="74"/>
  <c r="Z49" i="74"/>
  <c r="X49" i="74"/>
  <c r="L49" i="74"/>
  <c r="N49" i="74" s="1"/>
  <c r="B49" i="74"/>
  <c r="Z48" i="74"/>
  <c r="T48" i="74"/>
  <c r="X48" i="74" s="1"/>
  <c r="P48" i="74"/>
  <c r="H48" i="74"/>
  <c r="D48" i="74"/>
  <c r="L48" i="74" s="1"/>
  <c r="B48" i="74"/>
  <c r="Z47" i="74"/>
  <c r="X47" i="74"/>
  <c r="N47" i="74"/>
  <c r="L47" i="74"/>
  <c r="J47" i="74"/>
  <c r="B47" i="74"/>
  <c r="Z46" i="74"/>
  <c r="X46" i="74"/>
  <c r="N46" i="74"/>
  <c r="L46" i="74"/>
  <c r="B46" i="74"/>
  <c r="X45" i="74"/>
  <c r="Z45" i="74" s="1"/>
  <c r="N45" i="74"/>
  <c r="L45" i="74"/>
  <c r="B45" i="74"/>
  <c r="Z44" i="74"/>
  <c r="X44" i="74"/>
  <c r="N44" i="74"/>
  <c r="L44" i="74"/>
  <c r="B44" i="74"/>
  <c r="Z43" i="74"/>
  <c r="X43" i="74"/>
  <c r="V43" i="74"/>
  <c r="N43" i="74"/>
  <c r="L43" i="74"/>
  <c r="B43" i="74"/>
  <c r="Z42" i="74"/>
  <c r="X42" i="74"/>
  <c r="N42" i="74"/>
  <c r="L42" i="74"/>
  <c r="B42" i="74"/>
  <c r="X41" i="74"/>
  <c r="Z41" i="74" s="1"/>
  <c r="N41" i="74"/>
  <c r="L41" i="74"/>
  <c r="B41" i="74"/>
  <c r="Z40" i="74"/>
  <c r="X40" i="74"/>
  <c r="N40" i="74"/>
  <c r="L40" i="74"/>
  <c r="B40" i="74"/>
  <c r="Z39" i="74"/>
  <c r="X39" i="74"/>
  <c r="N39" i="74"/>
  <c r="L39" i="74"/>
  <c r="J39" i="74"/>
  <c r="B39" i="74"/>
  <c r="Z38" i="74"/>
  <c r="X38" i="74"/>
  <c r="N38" i="74"/>
  <c r="L38" i="74"/>
  <c r="J38" i="74"/>
  <c r="B38" i="74"/>
  <c r="X37" i="74"/>
  <c r="Z37" i="74" s="1"/>
  <c r="T37" i="74"/>
  <c r="P37" i="74"/>
  <c r="H37" i="74"/>
  <c r="D37" i="74"/>
  <c r="B37" i="74"/>
  <c r="Z36" i="74"/>
  <c r="X36" i="74"/>
  <c r="N36" i="74"/>
  <c r="L36" i="74"/>
  <c r="B36" i="74"/>
  <c r="Z35" i="74"/>
  <c r="X35" i="74"/>
  <c r="N35" i="74"/>
  <c r="L35" i="74"/>
  <c r="J35" i="74"/>
  <c r="B35" i="74"/>
  <c r="X34" i="74"/>
  <c r="Z34" i="74" s="1"/>
  <c r="L34" i="74"/>
  <c r="N34" i="74" s="1"/>
  <c r="B34" i="74"/>
  <c r="Z33" i="74"/>
  <c r="X33" i="74"/>
  <c r="N33" i="74"/>
  <c r="L33" i="74"/>
  <c r="B33" i="74"/>
  <c r="Z32" i="74"/>
  <c r="X32" i="74"/>
  <c r="N32" i="74"/>
  <c r="L32" i="74"/>
  <c r="B32" i="74"/>
  <c r="Z31" i="74"/>
  <c r="X31" i="74"/>
  <c r="N31" i="74"/>
  <c r="L31" i="74"/>
  <c r="F31" i="74"/>
  <c r="B31" i="74"/>
  <c r="X30" i="74"/>
  <c r="Z30" i="74" s="1"/>
  <c r="L30" i="74"/>
  <c r="N30" i="74" s="1"/>
  <c r="J30" i="74"/>
  <c r="B30" i="74"/>
  <c r="X29" i="74"/>
  <c r="Z29" i="74" s="1"/>
  <c r="N29" i="74"/>
  <c r="L29" i="74"/>
  <c r="B29" i="74"/>
  <c r="Z28" i="74"/>
  <c r="X28" i="74"/>
  <c r="L28" i="74"/>
  <c r="N28" i="74" s="1"/>
  <c r="B28" i="74"/>
  <c r="T27" i="74"/>
  <c r="P27" i="74"/>
  <c r="L27" i="74"/>
  <c r="N27" i="74" s="1"/>
  <c r="H27" i="74"/>
  <c r="D27" i="74"/>
  <c r="B27" i="74"/>
  <c r="T26" i="74" a="1"/>
  <c r="T26" i="74" s="1"/>
  <c r="P26" i="74" a="1"/>
  <c r="P26" i="74" s="1"/>
  <c r="X26" i="74" s="1"/>
  <c r="H26" i="74" a="1"/>
  <c r="H26" i="74" s="1"/>
  <c r="D26" i="74" a="1"/>
  <c r="D26" i="74"/>
  <c r="L26" i="74" s="1"/>
  <c r="Z22" i="74"/>
  <c r="X22" i="74"/>
  <c r="N22" i="74"/>
  <c r="L22" i="74"/>
  <c r="J22" i="74"/>
  <c r="B22" i="74"/>
  <c r="Z21" i="74"/>
  <c r="X21" i="74"/>
  <c r="N21" i="74"/>
  <c r="L21" i="74"/>
  <c r="J21" i="74"/>
  <c r="B21" i="74"/>
  <c r="Z20" i="74"/>
  <c r="X20" i="74"/>
  <c r="N20" i="74"/>
  <c r="L20" i="74"/>
  <c r="B20" i="74"/>
  <c r="Z19" i="74"/>
  <c r="X19" i="74"/>
  <c r="N19" i="74"/>
  <c r="L19" i="74"/>
  <c r="B19" i="74"/>
  <c r="T18" i="74"/>
  <c r="P18" i="74"/>
  <c r="X18" i="74" s="1"/>
  <c r="H18" i="74"/>
  <c r="D18" i="74"/>
  <c r="L18" i="74" s="1"/>
  <c r="Z16" i="74"/>
  <c r="P16" i="74"/>
  <c r="X16" i="74" s="1"/>
  <c r="N16" i="74"/>
  <c r="D16" i="74"/>
  <c r="L16" i="74" s="1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D14" i="74"/>
  <c r="D12" i="74" s="1"/>
  <c r="B14" i="74"/>
  <c r="P13" i="74"/>
  <c r="L13" i="74"/>
  <c r="N13" i="74" s="1"/>
  <c r="D13" i="74"/>
  <c r="B13" i="74"/>
  <c r="T12" i="74"/>
  <c r="H12" i="74"/>
  <c r="J92" i="74" s="1"/>
  <c r="D6" i="74"/>
  <c r="D4" i="74"/>
  <c r="Z91" i="73"/>
  <c r="X91" i="73"/>
  <c r="N91" i="73"/>
  <c r="L91" i="73"/>
  <c r="Z87" i="73"/>
  <c r="T87" i="73"/>
  <c r="P87" i="73"/>
  <c r="X87" i="73" s="1"/>
  <c r="H87" i="73"/>
  <c r="N87" i="73" s="1"/>
  <c r="D87" i="73"/>
  <c r="L87" i="73" s="1"/>
  <c r="Z85" i="73"/>
  <c r="X85" i="73"/>
  <c r="N85" i="73"/>
  <c r="L85" i="73"/>
  <c r="B85" i="73"/>
  <c r="Z84" i="73"/>
  <c r="T84" i="73"/>
  <c r="P84" i="73"/>
  <c r="X84" i="73" s="1"/>
  <c r="N84" i="73"/>
  <c r="H84" i="73"/>
  <c r="D84" i="73"/>
  <c r="L84" i="73" s="1"/>
  <c r="B84" i="73"/>
  <c r="Z83" i="73"/>
  <c r="X83" i="73"/>
  <c r="N83" i="73"/>
  <c r="L83" i="73"/>
  <c r="F83" i="73"/>
  <c r="B83" i="73"/>
  <c r="Z82" i="73"/>
  <c r="T82" i="73"/>
  <c r="P82" i="73"/>
  <c r="X82" i="73" s="1"/>
  <c r="N82" i="73"/>
  <c r="H82" i="73"/>
  <c r="L82" i="73" s="1"/>
  <c r="D82" i="73"/>
  <c r="B82" i="73"/>
  <c r="Z81" i="73"/>
  <c r="X81" i="73"/>
  <c r="N81" i="73"/>
  <c r="L81" i="73"/>
  <c r="B81" i="73"/>
  <c r="Z80" i="73"/>
  <c r="X80" i="73"/>
  <c r="N80" i="73"/>
  <c r="L80" i="73"/>
  <c r="B80" i="73"/>
  <c r="T79" i="73"/>
  <c r="P79" i="73"/>
  <c r="X79" i="73" s="1"/>
  <c r="H79" i="73"/>
  <c r="F79" i="73"/>
  <c r="D79" i="73"/>
  <c r="L79" i="73" s="1"/>
  <c r="B79" i="73"/>
  <c r="Z78" i="73"/>
  <c r="X78" i="73"/>
  <c r="L78" i="73"/>
  <c r="N78" i="73" s="1"/>
  <c r="J78" i="73"/>
  <c r="B78" i="73"/>
  <c r="X77" i="73"/>
  <c r="Z77" i="73" s="1"/>
  <c r="N77" i="73"/>
  <c r="L77" i="73"/>
  <c r="B77" i="73"/>
  <c r="Z76" i="73"/>
  <c r="X76" i="73"/>
  <c r="N76" i="73"/>
  <c r="L76" i="73"/>
  <c r="B76" i="73"/>
  <c r="X75" i="73"/>
  <c r="Z75" i="73" s="1"/>
  <c r="N75" i="73"/>
  <c r="L75" i="73"/>
  <c r="B75" i="73"/>
  <c r="Z74" i="73"/>
  <c r="X74" i="73"/>
  <c r="N74" i="73"/>
  <c r="L74" i="73"/>
  <c r="B74" i="73"/>
  <c r="Z73" i="73"/>
  <c r="X73" i="73"/>
  <c r="N73" i="73"/>
  <c r="L73" i="73"/>
  <c r="B73" i="73"/>
  <c r="Z72" i="73"/>
  <c r="T72" i="73"/>
  <c r="P72" i="73"/>
  <c r="X72" i="73" s="1"/>
  <c r="H72" i="73"/>
  <c r="D72" i="73"/>
  <c r="L72" i="73" s="1"/>
  <c r="N72" i="73" s="1"/>
  <c r="B72" i="73"/>
  <c r="X71" i="73"/>
  <c r="Z71" i="73" s="1"/>
  <c r="L71" i="73"/>
  <c r="N71" i="73" s="1"/>
  <c r="B71" i="73"/>
  <c r="Z70" i="73"/>
  <c r="X70" i="73"/>
  <c r="N70" i="73"/>
  <c r="L70" i="73"/>
  <c r="J70" i="73"/>
  <c r="B70" i="73"/>
  <c r="X69" i="73"/>
  <c r="Z69" i="73" s="1"/>
  <c r="L69" i="73"/>
  <c r="N69" i="73" s="1"/>
  <c r="B69" i="73"/>
  <c r="T68" i="73"/>
  <c r="P68" i="73"/>
  <c r="J68" i="73"/>
  <c r="H68" i="73"/>
  <c r="D68" i="73"/>
  <c r="L68" i="73" s="1"/>
  <c r="N68" i="73" s="1"/>
  <c r="B68" i="73"/>
  <c r="X67" i="73"/>
  <c r="Z67" i="73" s="1"/>
  <c r="L67" i="73"/>
  <c r="N67" i="73" s="1"/>
  <c r="B67" i="73"/>
  <c r="Z66" i="73"/>
  <c r="X66" i="73"/>
  <c r="N66" i="73"/>
  <c r="L66" i="73"/>
  <c r="B66" i="73"/>
  <c r="Z65" i="73"/>
  <c r="X65" i="73"/>
  <c r="N65" i="73"/>
  <c r="L65" i="73"/>
  <c r="B65" i="73"/>
  <c r="T64" i="73"/>
  <c r="P64" i="73"/>
  <c r="L64" i="73"/>
  <c r="N64" i="73" s="1"/>
  <c r="H64" i="73"/>
  <c r="D64" i="73"/>
  <c r="B64" i="73"/>
  <c r="X63" i="73"/>
  <c r="Z63" i="73" s="1"/>
  <c r="L63" i="73"/>
  <c r="N63" i="73" s="1"/>
  <c r="B63" i="73"/>
  <c r="Z62" i="73"/>
  <c r="X62" i="73"/>
  <c r="T62" i="73"/>
  <c r="P62" i="73"/>
  <c r="N62" i="73"/>
  <c r="H62" i="73"/>
  <c r="L62" i="73" s="1"/>
  <c r="D62" i="73"/>
  <c r="B62" i="73"/>
  <c r="Z61" i="73"/>
  <c r="X61" i="73"/>
  <c r="N61" i="73"/>
  <c r="L61" i="73"/>
  <c r="B61" i="73"/>
  <c r="Z60" i="73"/>
  <c r="T60" i="73"/>
  <c r="X60" i="73" s="1"/>
  <c r="P60" i="73"/>
  <c r="H60" i="73"/>
  <c r="D60" i="73"/>
  <c r="L60" i="73" s="1"/>
  <c r="N60" i="73" s="1"/>
  <c r="B60" i="73"/>
  <c r="X59" i="73"/>
  <c r="Z59" i="73" s="1"/>
  <c r="N59" i="73"/>
  <c r="L59" i="73"/>
  <c r="B59" i="73"/>
  <c r="T58" i="73"/>
  <c r="P58" i="73"/>
  <c r="X58" i="73" s="1"/>
  <c r="Z58" i="73" s="1"/>
  <c r="J58" i="73"/>
  <c r="H58" i="73"/>
  <c r="N58" i="73" s="1"/>
  <c r="D58" i="73"/>
  <c r="B58" i="73"/>
  <c r="Z57" i="73"/>
  <c r="X57" i="73"/>
  <c r="N57" i="73"/>
  <c r="L57" i="73"/>
  <c r="B57" i="73"/>
  <c r="V56" i="73"/>
  <c r="T56" i="73"/>
  <c r="P56" i="73"/>
  <c r="X56" i="73" s="1"/>
  <c r="Z56" i="73" s="1"/>
  <c r="H56" i="73"/>
  <c r="D56" i="73"/>
  <c r="L56" i="73" s="1"/>
  <c r="N56" i="73" s="1"/>
  <c r="B56" i="73"/>
  <c r="X55" i="73"/>
  <c r="Z55" i="73" s="1"/>
  <c r="L55" i="73"/>
  <c r="N55" i="73" s="1"/>
  <c r="B55" i="73"/>
  <c r="X54" i="73"/>
  <c r="Z54" i="73" s="1"/>
  <c r="T54" i="73"/>
  <c r="P54" i="73"/>
  <c r="N54" i="73"/>
  <c r="H54" i="73"/>
  <c r="L54" i="73" s="1"/>
  <c r="F54" i="73"/>
  <c r="D54" i="73"/>
  <c r="B54" i="73"/>
  <c r="X53" i="73"/>
  <c r="Z53" i="73" s="1"/>
  <c r="N53" i="73"/>
  <c r="L53" i="73"/>
  <c r="B53" i="73"/>
  <c r="Z52" i="73"/>
  <c r="X52" i="73"/>
  <c r="N52" i="73"/>
  <c r="L52" i="73"/>
  <c r="J52" i="73"/>
  <c r="B52" i="73"/>
  <c r="T51" i="73"/>
  <c r="P51" i="73"/>
  <c r="L51" i="73"/>
  <c r="H51" i="73"/>
  <c r="D51" i="73"/>
  <c r="B51" i="73"/>
  <c r="Z50" i="73"/>
  <c r="X50" i="73"/>
  <c r="N50" i="73"/>
  <c r="L50" i="73"/>
  <c r="B50" i="73"/>
  <c r="T49" i="73"/>
  <c r="P49" i="73"/>
  <c r="X49" i="73" s="1"/>
  <c r="Z49" i="73" s="1"/>
  <c r="H49" i="73"/>
  <c r="D49" i="73"/>
  <c r="L49" i="73" s="1"/>
  <c r="B49" i="73"/>
  <c r="Z48" i="73"/>
  <c r="X48" i="73"/>
  <c r="N48" i="73"/>
  <c r="L48" i="73"/>
  <c r="B48" i="73"/>
  <c r="V47" i="73"/>
  <c r="T47" i="73"/>
  <c r="Z47" i="73" s="1"/>
  <c r="P47" i="73"/>
  <c r="X47" i="73" s="1"/>
  <c r="H47" i="73"/>
  <c r="D47" i="73"/>
  <c r="B47" i="73"/>
  <c r="Z46" i="73"/>
  <c r="X46" i="73"/>
  <c r="N46" i="73"/>
  <c r="L46" i="73"/>
  <c r="B46" i="73"/>
  <c r="Z45" i="73"/>
  <c r="T45" i="73"/>
  <c r="P45" i="73"/>
  <c r="X45" i="73" s="1"/>
  <c r="H45" i="73"/>
  <c r="N45" i="73" s="1"/>
  <c r="D45" i="73"/>
  <c r="L45" i="73" s="1"/>
  <c r="B45" i="73"/>
  <c r="Z44" i="73"/>
  <c r="X44" i="73"/>
  <c r="N44" i="73"/>
  <c r="L44" i="73"/>
  <c r="J44" i="73"/>
  <c r="B44" i="73"/>
  <c r="Z43" i="73"/>
  <c r="X43" i="73"/>
  <c r="N43" i="73"/>
  <c r="L43" i="73"/>
  <c r="B43" i="73"/>
  <c r="X42" i="73"/>
  <c r="Z42" i="73" s="1"/>
  <c r="L42" i="73"/>
  <c r="N42" i="73" s="1"/>
  <c r="B42" i="73"/>
  <c r="Z41" i="73"/>
  <c r="X41" i="73"/>
  <c r="N41" i="73"/>
  <c r="L41" i="73"/>
  <c r="B41" i="73"/>
  <c r="Z40" i="73"/>
  <c r="X40" i="73"/>
  <c r="N40" i="73"/>
  <c r="L40" i="73"/>
  <c r="J40" i="73"/>
  <c r="B40" i="73"/>
  <c r="Z39" i="73"/>
  <c r="X39" i="73"/>
  <c r="N39" i="73"/>
  <c r="L39" i="73"/>
  <c r="B39" i="73"/>
  <c r="X38" i="73"/>
  <c r="Z38" i="73" s="1"/>
  <c r="L38" i="73"/>
  <c r="N38" i="73" s="1"/>
  <c r="B38" i="73"/>
  <c r="Z37" i="73"/>
  <c r="X37" i="73"/>
  <c r="N37" i="73"/>
  <c r="L37" i="73"/>
  <c r="B37" i="73"/>
  <c r="Z36" i="73"/>
  <c r="X36" i="73"/>
  <c r="N36" i="73"/>
  <c r="L36" i="73"/>
  <c r="J36" i="73"/>
  <c r="B36" i="73"/>
  <c r="Z35" i="73"/>
  <c r="X35" i="73"/>
  <c r="N35" i="73"/>
  <c r="L35" i="73"/>
  <c r="B35" i="73"/>
  <c r="X34" i="73"/>
  <c r="Z34" i="73" s="1"/>
  <c r="T34" i="73"/>
  <c r="P34" i="73"/>
  <c r="H34" i="73"/>
  <c r="L34" i="73" s="1"/>
  <c r="F34" i="73"/>
  <c r="D34" i="73"/>
  <c r="B34" i="73"/>
  <c r="Z33" i="73"/>
  <c r="X33" i="73"/>
  <c r="N33" i="73"/>
  <c r="L33" i="73"/>
  <c r="B33" i="73"/>
  <c r="Z32" i="73"/>
  <c r="X32" i="73"/>
  <c r="N32" i="73"/>
  <c r="L32" i="73"/>
  <c r="J32" i="73"/>
  <c r="B32" i="73"/>
  <c r="X31" i="73"/>
  <c r="Z31" i="73" s="1"/>
  <c r="L31" i="73"/>
  <c r="N31" i="73" s="1"/>
  <c r="B31" i="73"/>
  <c r="Z30" i="73"/>
  <c r="X30" i="73"/>
  <c r="N30" i="73"/>
  <c r="L30" i="73"/>
  <c r="B30" i="73"/>
  <c r="X29" i="73"/>
  <c r="Z29" i="73" s="1"/>
  <c r="N29" i="73"/>
  <c r="L29" i="73"/>
  <c r="B29" i="73"/>
  <c r="Z28" i="73"/>
  <c r="X28" i="73"/>
  <c r="N28" i="73"/>
  <c r="L28" i="73"/>
  <c r="B28" i="73"/>
  <c r="X27" i="73"/>
  <c r="Z27" i="73" s="1"/>
  <c r="L27" i="73"/>
  <c r="N27" i="73" s="1"/>
  <c r="B27" i="73"/>
  <c r="Z26" i="73"/>
  <c r="X26" i="73"/>
  <c r="N26" i="73"/>
  <c r="L26" i="73"/>
  <c r="B26" i="73"/>
  <c r="X25" i="73"/>
  <c r="Z25" i="73" s="1"/>
  <c r="L25" i="73"/>
  <c r="N25" i="73" s="1"/>
  <c r="B25" i="73"/>
  <c r="T24" i="73"/>
  <c r="P24" i="73"/>
  <c r="H24" i="73"/>
  <c r="D24" i="73"/>
  <c r="L24" i="73" s="1"/>
  <c r="N24" i="73" s="1"/>
  <c r="B24" i="73"/>
  <c r="T23" i="73" a="1"/>
  <c r="T23" i="73" s="1"/>
  <c r="P23" i="73" a="1"/>
  <c r="P23" i="73"/>
  <c r="X23" i="73" s="1"/>
  <c r="H23" i="73" a="1"/>
  <c r="H23" i="73" s="1"/>
  <c r="F23" i="73"/>
  <c r="D23" i="73" a="1"/>
  <c r="D23" i="73" s="1"/>
  <c r="L23" i="73" s="1"/>
  <c r="Z19" i="73"/>
  <c r="X19" i="73"/>
  <c r="N19" i="73"/>
  <c r="L19" i="73"/>
  <c r="B19" i="73"/>
  <c r="Z18" i="73"/>
  <c r="X18" i="73"/>
  <c r="N18" i="73"/>
  <c r="L18" i="73"/>
  <c r="B18" i="73"/>
  <c r="X17" i="73"/>
  <c r="Z17" i="73" s="1"/>
  <c r="L17" i="73"/>
  <c r="N17" i="73" s="1"/>
  <c r="B17" i="73"/>
  <c r="T16" i="73"/>
  <c r="P16" i="73"/>
  <c r="H16" i="73"/>
  <c r="D16" i="73"/>
  <c r="L16" i="73" s="1"/>
  <c r="N16" i="73" s="1"/>
  <c r="P14" i="73"/>
  <c r="L14" i="73"/>
  <c r="N14" i="73" s="1"/>
  <c r="D14" i="73"/>
  <c r="B14" i="73"/>
  <c r="X13" i="73"/>
  <c r="Z13" i="73" s="1"/>
  <c r="P13" i="73"/>
  <c r="L13" i="73"/>
  <c r="N13" i="73" s="1"/>
  <c r="D13" i="73"/>
  <c r="D12" i="73" s="1"/>
  <c r="F53" i="73" s="1"/>
  <c r="B13" i="73"/>
  <c r="T12" i="73"/>
  <c r="H12" i="73"/>
  <c r="J71" i="73" s="1"/>
  <c r="D6" i="73"/>
  <c r="D4" i="73"/>
  <c r="Z27" i="72"/>
  <c r="X27" i="72"/>
  <c r="V27" i="72"/>
  <c r="N27" i="72"/>
  <c r="L27" i="72"/>
  <c r="J27" i="72"/>
  <c r="T23" i="72"/>
  <c r="P23" i="72"/>
  <c r="N23" i="72"/>
  <c r="J23" i="72"/>
  <c r="H23" i="72"/>
  <c r="D23" i="72"/>
  <c r="L23" i="72" s="1"/>
  <c r="Z21" i="72"/>
  <c r="T21" i="72"/>
  <c r="V21" i="72" s="1"/>
  <c r="P21" i="72"/>
  <c r="X21" i="72" s="1"/>
  <c r="N21" i="72"/>
  <c r="J21" i="72"/>
  <c r="H21" i="72"/>
  <c r="D21" i="72"/>
  <c r="L21" i="72" s="1"/>
  <c r="Z17" i="72"/>
  <c r="X17" i="72"/>
  <c r="V17" i="72"/>
  <c r="N17" i="72"/>
  <c r="L17" i="72"/>
  <c r="J17" i="72"/>
  <c r="B17" i="72"/>
  <c r="T16" i="72"/>
  <c r="P16" i="72"/>
  <c r="H16" i="72"/>
  <c r="F16" i="72"/>
  <c r="D16" i="72"/>
  <c r="Z14" i="72"/>
  <c r="P14" i="72"/>
  <c r="N14" i="72"/>
  <c r="D14" i="72"/>
  <c r="L14" i="72" s="1"/>
  <c r="B14" i="72"/>
  <c r="Z13" i="72"/>
  <c r="P13" i="72"/>
  <c r="X13" i="72" s="1"/>
  <c r="L13" i="72"/>
  <c r="N13" i="72" s="1"/>
  <c r="D13" i="72"/>
  <c r="B13" i="72"/>
  <c r="T12" i="72"/>
  <c r="L12" i="72"/>
  <c r="N12" i="72" s="1"/>
  <c r="H12" i="72"/>
  <c r="J16" i="72" s="1"/>
  <c r="D12" i="72"/>
  <c r="D6" i="72"/>
  <c r="D4" i="72"/>
  <c r="X79" i="71"/>
  <c r="Z79" i="71" s="1"/>
  <c r="L79" i="71"/>
  <c r="N79" i="71" s="1"/>
  <c r="J79" i="71"/>
  <c r="T77" i="71"/>
  <c r="T75" i="71"/>
  <c r="Z75" i="71" s="1"/>
  <c r="P75" i="71"/>
  <c r="X75" i="71" s="1"/>
  <c r="N75" i="71"/>
  <c r="H75" i="71"/>
  <c r="D75" i="71"/>
  <c r="L75" i="71" s="1"/>
  <c r="X73" i="71"/>
  <c r="Z73" i="71" s="1"/>
  <c r="N73" i="71"/>
  <c r="L73" i="71"/>
  <c r="J73" i="71"/>
  <c r="B73" i="71"/>
  <c r="V72" i="71"/>
  <c r="T72" i="71"/>
  <c r="P72" i="71"/>
  <c r="X72" i="71" s="1"/>
  <c r="Z72" i="71" s="1"/>
  <c r="N72" i="71"/>
  <c r="H72" i="71"/>
  <c r="L72" i="71" s="1"/>
  <c r="D72" i="71"/>
  <c r="B72" i="71"/>
  <c r="Z71" i="71"/>
  <c r="X71" i="71"/>
  <c r="L71" i="71"/>
  <c r="N71" i="71" s="1"/>
  <c r="B71" i="71"/>
  <c r="T70" i="71"/>
  <c r="X70" i="71" s="1"/>
  <c r="Z70" i="71" s="1"/>
  <c r="P70" i="71"/>
  <c r="L70" i="71"/>
  <c r="J70" i="71"/>
  <c r="H70" i="71"/>
  <c r="D70" i="71"/>
  <c r="B70" i="71"/>
  <c r="X69" i="71"/>
  <c r="Z69" i="71" s="1"/>
  <c r="V69" i="71"/>
  <c r="N69" i="71"/>
  <c r="L69" i="71"/>
  <c r="B69" i="71"/>
  <c r="Z68" i="71"/>
  <c r="X68" i="71"/>
  <c r="V68" i="71"/>
  <c r="N68" i="71"/>
  <c r="L68" i="71"/>
  <c r="J68" i="71"/>
  <c r="B68" i="71"/>
  <c r="Z67" i="71"/>
  <c r="X67" i="71"/>
  <c r="N67" i="71"/>
  <c r="L67" i="71"/>
  <c r="B67" i="71"/>
  <c r="Z66" i="71"/>
  <c r="X66" i="71"/>
  <c r="N66" i="71"/>
  <c r="L66" i="71"/>
  <c r="B66" i="71"/>
  <c r="T65" i="71"/>
  <c r="P65" i="71"/>
  <c r="N65" i="71"/>
  <c r="H65" i="71"/>
  <c r="D65" i="71"/>
  <c r="L65" i="71" s="1"/>
  <c r="B65" i="71"/>
  <c r="Z64" i="71"/>
  <c r="X64" i="71"/>
  <c r="V64" i="71"/>
  <c r="N64" i="71"/>
  <c r="L64" i="71"/>
  <c r="J64" i="71"/>
  <c r="B64" i="71"/>
  <c r="Z63" i="71"/>
  <c r="X63" i="71"/>
  <c r="N63" i="71"/>
  <c r="L63" i="71"/>
  <c r="B63" i="71"/>
  <c r="Z62" i="71"/>
  <c r="X62" i="71"/>
  <c r="N62" i="71"/>
  <c r="L62" i="71"/>
  <c r="B62" i="71"/>
  <c r="T61" i="71"/>
  <c r="P61" i="71"/>
  <c r="L61" i="71"/>
  <c r="N61" i="71" s="1"/>
  <c r="H61" i="71"/>
  <c r="D61" i="71"/>
  <c r="B61" i="71"/>
  <c r="X60" i="71"/>
  <c r="Z60" i="71" s="1"/>
  <c r="V60" i="71"/>
  <c r="L60" i="71"/>
  <c r="N60" i="71" s="1"/>
  <c r="J60" i="71"/>
  <c r="B60" i="71"/>
  <c r="Z59" i="71"/>
  <c r="X59" i="71"/>
  <c r="N59" i="71"/>
  <c r="L59" i="71"/>
  <c r="B59" i="71"/>
  <c r="Z58" i="71"/>
  <c r="T58" i="71"/>
  <c r="X58" i="71" s="1"/>
  <c r="P58" i="71"/>
  <c r="L58" i="71"/>
  <c r="J58" i="71"/>
  <c r="H58" i="71"/>
  <c r="N58" i="71" s="1"/>
  <c r="D58" i="71"/>
  <c r="B58" i="71"/>
  <c r="X57" i="71"/>
  <c r="Z57" i="71" s="1"/>
  <c r="V57" i="71"/>
  <c r="N57" i="71"/>
  <c r="L57" i="71"/>
  <c r="B57" i="71"/>
  <c r="X56" i="71"/>
  <c r="Z56" i="71" s="1"/>
  <c r="V56" i="71"/>
  <c r="N56" i="71"/>
  <c r="L56" i="71"/>
  <c r="J56" i="71"/>
  <c r="B56" i="71"/>
  <c r="X55" i="71"/>
  <c r="Z55" i="71" s="1"/>
  <c r="T55" i="71"/>
  <c r="P55" i="71"/>
  <c r="H55" i="71"/>
  <c r="D55" i="71"/>
  <c r="B55" i="71"/>
  <c r="Z54" i="71"/>
  <c r="X54" i="71"/>
  <c r="N54" i="71"/>
  <c r="L54" i="71"/>
  <c r="B54" i="71"/>
  <c r="T53" i="71"/>
  <c r="P53" i="71"/>
  <c r="N53" i="71"/>
  <c r="L53" i="71"/>
  <c r="H53" i="71"/>
  <c r="D53" i="71"/>
  <c r="B53" i="71"/>
  <c r="X52" i="71"/>
  <c r="Z52" i="71" s="1"/>
  <c r="V52" i="71"/>
  <c r="L52" i="71"/>
  <c r="N52" i="71" s="1"/>
  <c r="J52" i="71"/>
  <c r="B52" i="71"/>
  <c r="T51" i="71"/>
  <c r="P51" i="71"/>
  <c r="X51" i="71" s="1"/>
  <c r="Z51" i="71" s="1"/>
  <c r="H51" i="71"/>
  <c r="D51" i="71"/>
  <c r="L51" i="71" s="1"/>
  <c r="B51" i="71"/>
  <c r="Z50" i="71"/>
  <c r="X50" i="71"/>
  <c r="N50" i="71"/>
  <c r="L50" i="71"/>
  <c r="B50" i="71"/>
  <c r="T49" i="71"/>
  <c r="P49" i="71"/>
  <c r="X49" i="71" s="1"/>
  <c r="N49" i="71"/>
  <c r="L49" i="71"/>
  <c r="H49" i="71"/>
  <c r="D49" i="71"/>
  <c r="B49" i="71"/>
  <c r="Z48" i="71"/>
  <c r="X48" i="71"/>
  <c r="V48" i="71"/>
  <c r="N48" i="71"/>
  <c r="L48" i="71"/>
  <c r="J48" i="71"/>
  <c r="B48" i="71"/>
  <c r="Z47" i="71"/>
  <c r="T47" i="71"/>
  <c r="P47" i="71"/>
  <c r="X47" i="71" s="1"/>
  <c r="J47" i="71"/>
  <c r="H47" i="71"/>
  <c r="N47" i="71" s="1"/>
  <c r="D47" i="71"/>
  <c r="L47" i="71" s="1"/>
  <c r="B47" i="71"/>
  <c r="Z46" i="71"/>
  <c r="X46" i="71"/>
  <c r="N46" i="71"/>
  <c r="L46" i="71"/>
  <c r="B46" i="71"/>
  <c r="V45" i="71"/>
  <c r="T45" i="71"/>
  <c r="Z45" i="71" s="1"/>
  <c r="P45" i="71"/>
  <c r="X45" i="71" s="1"/>
  <c r="N45" i="71"/>
  <c r="L45" i="71"/>
  <c r="H45" i="71"/>
  <c r="D45" i="71"/>
  <c r="B45" i="71"/>
  <c r="Z44" i="71"/>
  <c r="X44" i="71"/>
  <c r="V44" i="71"/>
  <c r="N44" i="71"/>
  <c r="L44" i="71"/>
  <c r="J44" i="71"/>
  <c r="B44" i="71"/>
  <c r="Z43" i="71"/>
  <c r="X43" i="71"/>
  <c r="N43" i="71"/>
  <c r="L43" i="71"/>
  <c r="B43" i="71"/>
  <c r="Z42" i="71"/>
  <c r="X42" i="71"/>
  <c r="N42" i="71"/>
  <c r="L42" i="71"/>
  <c r="B42" i="71"/>
  <c r="Z41" i="71"/>
  <c r="X41" i="71"/>
  <c r="V41" i="71"/>
  <c r="N41" i="71"/>
  <c r="L41" i="71"/>
  <c r="B41" i="71"/>
  <c r="Z40" i="71"/>
  <c r="X40" i="71"/>
  <c r="V40" i="71"/>
  <c r="N40" i="71"/>
  <c r="L40" i="71"/>
  <c r="J40" i="71"/>
  <c r="B40" i="71"/>
  <c r="Z39" i="71"/>
  <c r="X39" i="71"/>
  <c r="N39" i="71"/>
  <c r="L39" i="71"/>
  <c r="B39" i="71"/>
  <c r="Z38" i="71"/>
  <c r="X38" i="71"/>
  <c r="N38" i="71"/>
  <c r="L38" i="71"/>
  <c r="B38" i="71"/>
  <c r="Z37" i="71"/>
  <c r="X37" i="71"/>
  <c r="N37" i="71"/>
  <c r="L37" i="71"/>
  <c r="J37" i="71"/>
  <c r="B37" i="71"/>
  <c r="Z36" i="71"/>
  <c r="X36" i="71"/>
  <c r="V36" i="71"/>
  <c r="N36" i="71"/>
  <c r="L36" i="71"/>
  <c r="J36" i="71"/>
  <c r="B36" i="71"/>
  <c r="Z35" i="71"/>
  <c r="X35" i="71"/>
  <c r="N35" i="71"/>
  <c r="L35" i="71"/>
  <c r="B35" i="71"/>
  <c r="T34" i="71"/>
  <c r="P34" i="71"/>
  <c r="J34" i="71"/>
  <c r="H34" i="71"/>
  <c r="D34" i="71"/>
  <c r="L34" i="71" s="1"/>
  <c r="N34" i="71" s="1"/>
  <c r="B34" i="71"/>
  <c r="Z33" i="71"/>
  <c r="X33" i="71"/>
  <c r="N33" i="71"/>
  <c r="L33" i="71"/>
  <c r="J33" i="71"/>
  <c r="B33" i="71"/>
  <c r="X32" i="71"/>
  <c r="Z32" i="71" s="1"/>
  <c r="V32" i="71"/>
  <c r="L32" i="71"/>
  <c r="N32" i="71" s="1"/>
  <c r="J32" i="71"/>
  <c r="B32" i="71"/>
  <c r="Z31" i="71"/>
  <c r="X31" i="71"/>
  <c r="N31" i="71"/>
  <c r="L31" i="71"/>
  <c r="B31" i="71"/>
  <c r="Z30" i="71"/>
  <c r="X30" i="71"/>
  <c r="N30" i="71"/>
  <c r="L30" i="71"/>
  <c r="B30" i="71"/>
  <c r="Z29" i="71"/>
  <c r="X29" i="71"/>
  <c r="V29" i="71"/>
  <c r="N29" i="71"/>
  <c r="L29" i="71"/>
  <c r="B29" i="71"/>
  <c r="Z28" i="71"/>
  <c r="X28" i="71"/>
  <c r="V28" i="71"/>
  <c r="N28" i="71"/>
  <c r="L28" i="71"/>
  <c r="J28" i="71"/>
  <c r="B28" i="71"/>
  <c r="Z27" i="71"/>
  <c r="X27" i="71"/>
  <c r="L27" i="71"/>
  <c r="N27" i="71" s="1"/>
  <c r="B27" i="71"/>
  <c r="Z26" i="71"/>
  <c r="X26" i="71"/>
  <c r="N26" i="71"/>
  <c r="L26" i="71"/>
  <c r="B26" i="71"/>
  <c r="X25" i="71"/>
  <c r="Z25" i="71" s="1"/>
  <c r="L25" i="71"/>
  <c r="N25" i="71" s="1"/>
  <c r="J25" i="71"/>
  <c r="B25" i="71"/>
  <c r="X24" i="71"/>
  <c r="Z24" i="71" s="1"/>
  <c r="V24" i="71"/>
  <c r="L24" i="71"/>
  <c r="N24" i="71" s="1"/>
  <c r="J24" i="71"/>
  <c r="B24" i="71"/>
  <c r="T23" i="71"/>
  <c r="P23" i="71"/>
  <c r="X23" i="71" s="1"/>
  <c r="Z23" i="71" s="1"/>
  <c r="H23" i="71"/>
  <c r="D23" i="71"/>
  <c r="B23" i="71"/>
  <c r="T22" i="71" a="1"/>
  <c r="T22" i="71"/>
  <c r="P22" i="71" a="1"/>
  <c r="P22" i="71"/>
  <c r="X22" i="71" s="1"/>
  <c r="Z22" i="71" s="1"/>
  <c r="H22" i="71" a="1"/>
  <c r="H22" i="71"/>
  <c r="D22" i="71" a="1"/>
  <c r="D22" i="71"/>
  <c r="L22" i="71" s="1"/>
  <c r="T20" i="71"/>
  <c r="Z18" i="71"/>
  <c r="X18" i="71"/>
  <c r="V18" i="71"/>
  <c r="N18" i="71"/>
  <c r="L18" i="71"/>
  <c r="B18" i="71"/>
  <c r="X17" i="71"/>
  <c r="Z17" i="71" s="1"/>
  <c r="V17" i="71"/>
  <c r="L17" i="71"/>
  <c r="N17" i="71" s="1"/>
  <c r="J17" i="71"/>
  <c r="B17" i="71"/>
  <c r="X16" i="71"/>
  <c r="Z16" i="71" s="1"/>
  <c r="V16" i="71"/>
  <c r="T16" i="71"/>
  <c r="P16" i="71"/>
  <c r="N16" i="71"/>
  <c r="H16" i="71"/>
  <c r="D16" i="71"/>
  <c r="L16" i="71" s="1"/>
  <c r="P14" i="71"/>
  <c r="D14" i="71"/>
  <c r="L14" i="71" s="1"/>
  <c r="N14" i="71" s="1"/>
  <c r="B14" i="71"/>
  <c r="P13" i="71"/>
  <c r="X13" i="71" s="1"/>
  <c r="Z13" i="71" s="1"/>
  <c r="N13" i="71"/>
  <c r="D13" i="71"/>
  <c r="L13" i="71" s="1"/>
  <c r="B13" i="71"/>
  <c r="T12" i="71"/>
  <c r="V71" i="71" s="1"/>
  <c r="H12" i="71"/>
  <c r="D6" i="71"/>
  <c r="D4" i="71"/>
  <c r="Z83" i="69"/>
  <c r="X83" i="69"/>
  <c r="N83" i="69"/>
  <c r="L83" i="69"/>
  <c r="V79" i="69"/>
  <c r="P79" i="69"/>
  <c r="X79" i="69" s="1"/>
  <c r="Z79" i="69" s="1"/>
  <c r="L79" i="69"/>
  <c r="N79" i="69" s="1"/>
  <c r="J79" i="69"/>
  <c r="D79" i="69"/>
  <c r="B79" i="69"/>
  <c r="Z78" i="69"/>
  <c r="P78" i="69"/>
  <c r="X78" i="69" s="1"/>
  <c r="N78" i="69"/>
  <c r="J78" i="69"/>
  <c r="D78" i="69"/>
  <c r="L78" i="69" s="1"/>
  <c r="B78" i="69"/>
  <c r="Z77" i="69"/>
  <c r="P77" i="69"/>
  <c r="N77" i="69"/>
  <c r="D77" i="69"/>
  <c r="B77" i="69"/>
  <c r="T76" i="69"/>
  <c r="H76" i="69"/>
  <c r="X74" i="69"/>
  <c r="Z74" i="69" s="1"/>
  <c r="V74" i="69"/>
  <c r="L74" i="69"/>
  <c r="N74" i="69" s="1"/>
  <c r="B74" i="69"/>
  <c r="X73" i="69"/>
  <c r="Z73" i="69" s="1"/>
  <c r="T73" i="69"/>
  <c r="P73" i="69"/>
  <c r="H73" i="69"/>
  <c r="D73" i="69"/>
  <c r="B73" i="69"/>
  <c r="X72" i="69"/>
  <c r="Z72" i="69" s="1"/>
  <c r="N72" i="69"/>
  <c r="L72" i="69"/>
  <c r="B72" i="69"/>
  <c r="Z71" i="69"/>
  <c r="X71" i="69"/>
  <c r="N71" i="69"/>
  <c r="L71" i="69"/>
  <c r="J71" i="69"/>
  <c r="B71" i="69"/>
  <c r="V70" i="69"/>
  <c r="T70" i="69"/>
  <c r="Z70" i="69" s="1"/>
  <c r="P70" i="69"/>
  <c r="X70" i="69" s="1"/>
  <c r="L70" i="69"/>
  <c r="H70" i="69"/>
  <c r="N70" i="69" s="1"/>
  <c r="D70" i="69"/>
  <c r="B70" i="69"/>
  <c r="Z69" i="69"/>
  <c r="X69" i="69"/>
  <c r="N69" i="69"/>
  <c r="L69" i="69"/>
  <c r="B69" i="69"/>
  <c r="X68" i="69"/>
  <c r="T68" i="69"/>
  <c r="Z68" i="69" s="1"/>
  <c r="P68" i="69"/>
  <c r="L68" i="69"/>
  <c r="H68" i="69"/>
  <c r="N68" i="69" s="1"/>
  <c r="D68" i="69"/>
  <c r="B68" i="69"/>
  <c r="Z67" i="69"/>
  <c r="X67" i="69"/>
  <c r="V67" i="69"/>
  <c r="N67" i="69"/>
  <c r="L67" i="69"/>
  <c r="B67" i="69"/>
  <c r="X66" i="69"/>
  <c r="T66" i="69"/>
  <c r="Z66" i="69" s="1"/>
  <c r="P66" i="69"/>
  <c r="H66" i="69"/>
  <c r="N66" i="69" s="1"/>
  <c r="D66" i="69"/>
  <c r="L66" i="69" s="1"/>
  <c r="B66" i="69"/>
  <c r="X65" i="69"/>
  <c r="Z65" i="69" s="1"/>
  <c r="N65" i="69"/>
  <c r="L65" i="69"/>
  <c r="B65" i="69"/>
  <c r="T64" i="69"/>
  <c r="P64" i="69"/>
  <c r="X64" i="69" s="1"/>
  <c r="J64" i="69"/>
  <c r="H64" i="69"/>
  <c r="N64" i="69" s="1"/>
  <c r="D64" i="69"/>
  <c r="L64" i="69" s="1"/>
  <c r="B64" i="69"/>
  <c r="Z63" i="69"/>
  <c r="X63" i="69"/>
  <c r="N63" i="69"/>
  <c r="L63" i="69"/>
  <c r="J63" i="69"/>
  <c r="B63" i="69"/>
  <c r="V62" i="69"/>
  <c r="T62" i="69"/>
  <c r="Z62" i="69" s="1"/>
  <c r="P62" i="69"/>
  <c r="X62" i="69" s="1"/>
  <c r="L62" i="69"/>
  <c r="H62" i="69"/>
  <c r="N62" i="69" s="1"/>
  <c r="D62" i="69"/>
  <c r="B62" i="69"/>
  <c r="Z61" i="69"/>
  <c r="X61" i="69"/>
  <c r="L61" i="69"/>
  <c r="N61" i="69" s="1"/>
  <c r="B61" i="69"/>
  <c r="X60" i="69"/>
  <c r="T60" i="69"/>
  <c r="Z60" i="69" s="1"/>
  <c r="P60" i="69"/>
  <c r="L60" i="69"/>
  <c r="H60" i="69"/>
  <c r="N60" i="69" s="1"/>
  <c r="D60" i="69"/>
  <c r="B60" i="69"/>
  <c r="Z59" i="69"/>
  <c r="X59" i="69"/>
  <c r="V59" i="69"/>
  <c r="N59" i="69"/>
  <c r="L59" i="69"/>
  <c r="B59" i="69"/>
  <c r="X58" i="69"/>
  <c r="T58" i="69"/>
  <c r="Z58" i="69" s="1"/>
  <c r="P58" i="69"/>
  <c r="N58" i="69"/>
  <c r="H58" i="69"/>
  <c r="D58" i="69"/>
  <c r="L58" i="69" s="1"/>
  <c r="B58" i="69"/>
  <c r="X57" i="69"/>
  <c r="Z57" i="69" s="1"/>
  <c r="N57" i="69"/>
  <c r="L57" i="69"/>
  <c r="B57" i="69"/>
  <c r="Z56" i="69"/>
  <c r="T56" i="69"/>
  <c r="P56" i="69"/>
  <c r="X56" i="69" s="1"/>
  <c r="J56" i="69"/>
  <c r="H56" i="69"/>
  <c r="D56" i="69"/>
  <c r="L56" i="69" s="1"/>
  <c r="B56" i="69"/>
  <c r="Z55" i="69"/>
  <c r="X55" i="69"/>
  <c r="N55" i="69"/>
  <c r="L55" i="69"/>
  <c r="J55" i="69"/>
  <c r="B55" i="69"/>
  <c r="Z54" i="69"/>
  <c r="X54" i="69"/>
  <c r="V54" i="69"/>
  <c r="N54" i="69"/>
  <c r="L54" i="69"/>
  <c r="B54" i="69"/>
  <c r="X53" i="69"/>
  <c r="Z53" i="69" s="1"/>
  <c r="N53" i="69"/>
  <c r="L53" i="69"/>
  <c r="B53" i="69"/>
  <c r="Z52" i="69"/>
  <c r="X52" i="69"/>
  <c r="N52" i="69"/>
  <c r="L52" i="69"/>
  <c r="B52" i="69"/>
  <c r="Z51" i="69"/>
  <c r="X51" i="69"/>
  <c r="V51" i="69"/>
  <c r="N51" i="69"/>
  <c r="L51" i="69"/>
  <c r="B51" i="69"/>
  <c r="Z50" i="69"/>
  <c r="X50" i="69"/>
  <c r="N50" i="69"/>
  <c r="L50" i="69"/>
  <c r="J50" i="69"/>
  <c r="B50" i="69"/>
  <c r="Z49" i="69"/>
  <c r="X49" i="69"/>
  <c r="V49" i="69"/>
  <c r="L49" i="69"/>
  <c r="N49" i="69" s="1"/>
  <c r="B49" i="69"/>
  <c r="Z48" i="69"/>
  <c r="X48" i="69"/>
  <c r="N48" i="69"/>
  <c r="L48" i="69"/>
  <c r="B48" i="69"/>
  <c r="Z47" i="69"/>
  <c r="X47" i="69"/>
  <c r="N47" i="69"/>
  <c r="L47" i="69"/>
  <c r="J47" i="69"/>
  <c r="B47" i="69"/>
  <c r="Z46" i="69"/>
  <c r="X46" i="69"/>
  <c r="V46" i="69"/>
  <c r="N46" i="69"/>
  <c r="L46" i="69"/>
  <c r="B46" i="69"/>
  <c r="X45" i="69"/>
  <c r="Z45" i="69" s="1"/>
  <c r="T45" i="69"/>
  <c r="P45" i="69"/>
  <c r="H45" i="69"/>
  <c r="D45" i="69"/>
  <c r="L45" i="69" s="1"/>
  <c r="B45" i="69"/>
  <c r="X44" i="69"/>
  <c r="Z44" i="69" s="1"/>
  <c r="N44" i="69"/>
  <c r="L44" i="69"/>
  <c r="B44" i="69"/>
  <c r="Z43" i="69"/>
  <c r="X43" i="69"/>
  <c r="N43" i="69"/>
  <c r="L43" i="69"/>
  <c r="J43" i="69"/>
  <c r="B43" i="69"/>
  <c r="X42" i="69"/>
  <c r="Z42" i="69" s="1"/>
  <c r="V42" i="69"/>
  <c r="L42" i="69"/>
  <c r="N42" i="69" s="1"/>
  <c r="B42" i="69"/>
  <c r="Z41" i="69"/>
  <c r="X41" i="69"/>
  <c r="N41" i="69"/>
  <c r="L41" i="69"/>
  <c r="J41" i="69"/>
  <c r="B41" i="69"/>
  <c r="Z40" i="69"/>
  <c r="X40" i="69"/>
  <c r="N40" i="69"/>
  <c r="L40" i="69"/>
  <c r="B40" i="69"/>
  <c r="Z39" i="69"/>
  <c r="X39" i="69"/>
  <c r="V39" i="69"/>
  <c r="N39" i="69"/>
  <c r="L39" i="69"/>
  <c r="B39" i="69"/>
  <c r="X38" i="69"/>
  <c r="Z38" i="69" s="1"/>
  <c r="L38" i="69"/>
  <c r="N38" i="69" s="1"/>
  <c r="J38" i="69"/>
  <c r="B38" i="69"/>
  <c r="Z37" i="69"/>
  <c r="X37" i="69"/>
  <c r="V37" i="69"/>
  <c r="L37" i="69"/>
  <c r="N37" i="69" s="1"/>
  <c r="B37" i="69"/>
  <c r="X36" i="69"/>
  <c r="Z36" i="69" s="1"/>
  <c r="N36" i="69"/>
  <c r="L36" i="69"/>
  <c r="B36" i="69"/>
  <c r="Z35" i="69"/>
  <c r="X35" i="69"/>
  <c r="N35" i="69"/>
  <c r="L35" i="69"/>
  <c r="J35" i="69"/>
  <c r="B35" i="69"/>
  <c r="V34" i="69"/>
  <c r="T34" i="69"/>
  <c r="Z34" i="69" s="1"/>
  <c r="P34" i="69"/>
  <c r="X34" i="69" s="1"/>
  <c r="L34" i="69"/>
  <c r="H34" i="69"/>
  <c r="N34" i="69" s="1"/>
  <c r="D34" i="69"/>
  <c r="B34" i="69"/>
  <c r="Z33" i="69"/>
  <c r="V33" i="69"/>
  <c r="T33" i="69" a="1"/>
  <c r="T33" i="69"/>
  <c r="P33" i="69" a="1"/>
  <c r="P33" i="69" s="1"/>
  <c r="X33" i="69" s="1"/>
  <c r="N33" i="69"/>
  <c r="J33" i="69"/>
  <c r="H33" i="69" a="1"/>
  <c r="H33" i="69"/>
  <c r="D33" i="69" a="1"/>
  <c r="D33" i="69" s="1"/>
  <c r="L33" i="69" s="1"/>
  <c r="Z29" i="69"/>
  <c r="X29" i="69"/>
  <c r="V29" i="69"/>
  <c r="N29" i="69"/>
  <c r="L29" i="69"/>
  <c r="J29" i="69"/>
  <c r="B29" i="69"/>
  <c r="Z28" i="69"/>
  <c r="X28" i="69"/>
  <c r="N28" i="69"/>
  <c r="L28" i="69"/>
  <c r="B28" i="69"/>
  <c r="Z27" i="69"/>
  <c r="X27" i="69"/>
  <c r="V27" i="69"/>
  <c r="N27" i="69"/>
  <c r="L27" i="69"/>
  <c r="B27" i="69"/>
  <c r="Z26" i="69"/>
  <c r="X26" i="69"/>
  <c r="N26" i="69"/>
  <c r="L26" i="69"/>
  <c r="J26" i="69"/>
  <c r="B26" i="69"/>
  <c r="Z25" i="69"/>
  <c r="X25" i="69"/>
  <c r="V25" i="69"/>
  <c r="N25" i="69"/>
  <c r="L25" i="69"/>
  <c r="J25" i="69"/>
  <c r="B25" i="69"/>
  <c r="Z24" i="69"/>
  <c r="X24" i="69"/>
  <c r="N24" i="69"/>
  <c r="L24" i="69"/>
  <c r="B24" i="69"/>
  <c r="Z23" i="69"/>
  <c r="X23" i="69"/>
  <c r="V23" i="69"/>
  <c r="N23" i="69"/>
  <c r="L23" i="69"/>
  <c r="J23" i="69"/>
  <c r="B23" i="69"/>
  <c r="Z22" i="69"/>
  <c r="X22" i="69"/>
  <c r="V22" i="69"/>
  <c r="N22" i="69"/>
  <c r="L22" i="69"/>
  <c r="B22" i="69"/>
  <c r="Z21" i="69"/>
  <c r="X21" i="69"/>
  <c r="V21" i="69"/>
  <c r="N21" i="69"/>
  <c r="L21" i="69"/>
  <c r="J21" i="69"/>
  <c r="B21" i="69"/>
  <c r="Z20" i="69"/>
  <c r="X20" i="69"/>
  <c r="L20" i="69"/>
  <c r="N20" i="69" s="1"/>
  <c r="B20" i="69"/>
  <c r="V19" i="69"/>
  <c r="T19" i="69"/>
  <c r="P19" i="69"/>
  <c r="X19" i="69" s="1"/>
  <c r="Z19" i="69" s="1"/>
  <c r="L19" i="69"/>
  <c r="N19" i="69" s="1"/>
  <c r="J19" i="69"/>
  <c r="H19" i="69"/>
  <c r="D19" i="69"/>
  <c r="Z17" i="69"/>
  <c r="P17" i="69"/>
  <c r="X17" i="69" s="1"/>
  <c r="N17" i="69"/>
  <c r="L17" i="69"/>
  <c r="D17" i="69"/>
  <c r="B17" i="69"/>
  <c r="Z16" i="69"/>
  <c r="X16" i="69"/>
  <c r="P16" i="69"/>
  <c r="N16" i="69"/>
  <c r="L16" i="69"/>
  <c r="D16" i="69"/>
  <c r="B16" i="69"/>
  <c r="Z15" i="69"/>
  <c r="P15" i="69"/>
  <c r="X15" i="69" s="1"/>
  <c r="N15" i="69"/>
  <c r="D15" i="69"/>
  <c r="B15" i="69"/>
  <c r="X14" i="69"/>
  <c r="Z14" i="69" s="1"/>
  <c r="P14" i="69"/>
  <c r="D14" i="69"/>
  <c r="L14" i="69" s="1"/>
  <c r="N14" i="69" s="1"/>
  <c r="B14" i="69"/>
  <c r="P13" i="69"/>
  <c r="X13" i="69" s="1"/>
  <c r="Z13" i="69" s="1"/>
  <c r="L13" i="69"/>
  <c r="N13" i="69" s="1"/>
  <c r="D13" i="69"/>
  <c r="B13" i="69"/>
  <c r="T12" i="69"/>
  <c r="P12" i="69"/>
  <c r="H12" i="69"/>
  <c r="J74" i="69" s="1"/>
  <c r="D6" i="69"/>
  <c r="D4" i="69"/>
  <c r="X80" i="68"/>
  <c r="Z80" i="68" s="1"/>
  <c r="L80" i="68"/>
  <c r="N80" i="68" s="1"/>
  <c r="X76" i="68"/>
  <c r="Z76" i="68" s="1"/>
  <c r="V76" i="68"/>
  <c r="P76" i="68"/>
  <c r="N76" i="68"/>
  <c r="D76" i="68"/>
  <c r="L76" i="68" s="1"/>
  <c r="B76" i="68"/>
  <c r="V75" i="68"/>
  <c r="T75" i="68"/>
  <c r="P75" i="68"/>
  <c r="X75" i="68" s="1"/>
  <c r="Z75" i="68" s="1"/>
  <c r="N75" i="68"/>
  <c r="H75" i="68"/>
  <c r="Z73" i="68"/>
  <c r="X73" i="68"/>
  <c r="N73" i="68"/>
  <c r="L73" i="68"/>
  <c r="B73" i="68"/>
  <c r="V72" i="68"/>
  <c r="T72" i="68"/>
  <c r="Z72" i="68" s="1"/>
  <c r="P72" i="68"/>
  <c r="X72" i="68" s="1"/>
  <c r="L72" i="68"/>
  <c r="H72" i="68"/>
  <c r="N72" i="68" s="1"/>
  <c r="D72" i="68"/>
  <c r="B72" i="68"/>
  <c r="Z71" i="68"/>
  <c r="X71" i="68"/>
  <c r="L71" i="68"/>
  <c r="N71" i="68" s="1"/>
  <c r="B71" i="68"/>
  <c r="X70" i="68"/>
  <c r="Z70" i="68" s="1"/>
  <c r="N70" i="68"/>
  <c r="L70" i="68"/>
  <c r="B70" i="68"/>
  <c r="Z69" i="68"/>
  <c r="X69" i="68"/>
  <c r="N69" i="68"/>
  <c r="L69" i="68"/>
  <c r="B69" i="68"/>
  <c r="X68" i="68"/>
  <c r="Z68" i="68" s="1"/>
  <c r="V68" i="68"/>
  <c r="N68" i="68"/>
  <c r="L68" i="68"/>
  <c r="B68" i="68"/>
  <c r="Z67" i="68"/>
  <c r="X67" i="68"/>
  <c r="N67" i="68"/>
  <c r="L67" i="68"/>
  <c r="B67" i="68"/>
  <c r="T66" i="68"/>
  <c r="P66" i="68"/>
  <c r="X66" i="68" s="1"/>
  <c r="H66" i="68"/>
  <c r="N66" i="68" s="1"/>
  <c r="D66" i="68"/>
  <c r="L66" i="68" s="1"/>
  <c r="B66" i="68"/>
  <c r="Z65" i="68"/>
  <c r="X65" i="68"/>
  <c r="N65" i="68"/>
  <c r="L65" i="68"/>
  <c r="B65" i="68"/>
  <c r="V64" i="68"/>
  <c r="T64" i="68"/>
  <c r="Z64" i="68" s="1"/>
  <c r="P64" i="68"/>
  <c r="X64" i="68" s="1"/>
  <c r="L64" i="68"/>
  <c r="H64" i="68"/>
  <c r="N64" i="68" s="1"/>
  <c r="D64" i="68"/>
  <c r="B64" i="68"/>
  <c r="Z63" i="68"/>
  <c r="X63" i="68"/>
  <c r="L63" i="68"/>
  <c r="N63" i="68" s="1"/>
  <c r="B63" i="68"/>
  <c r="X62" i="68"/>
  <c r="T62" i="68"/>
  <c r="Z62" i="68" s="1"/>
  <c r="P62" i="68"/>
  <c r="L62" i="68"/>
  <c r="H62" i="68"/>
  <c r="N62" i="68" s="1"/>
  <c r="D62" i="68"/>
  <c r="B62" i="68"/>
  <c r="Z61" i="68"/>
  <c r="X61" i="68"/>
  <c r="V61" i="68"/>
  <c r="N61" i="68"/>
  <c r="L61" i="68"/>
  <c r="B61" i="68"/>
  <c r="X60" i="68"/>
  <c r="Z60" i="68" s="1"/>
  <c r="L60" i="68"/>
  <c r="N60" i="68" s="1"/>
  <c r="B60" i="68"/>
  <c r="Z59" i="68"/>
  <c r="X59" i="68"/>
  <c r="N59" i="68"/>
  <c r="L59" i="68"/>
  <c r="B59" i="68"/>
  <c r="X58" i="68"/>
  <c r="T58" i="68"/>
  <c r="Z58" i="68" s="1"/>
  <c r="P58" i="68"/>
  <c r="L58" i="68"/>
  <c r="H58" i="68"/>
  <c r="N58" i="68" s="1"/>
  <c r="D58" i="68"/>
  <c r="B58" i="68"/>
  <c r="Z57" i="68"/>
  <c r="X57" i="68"/>
  <c r="V57" i="68"/>
  <c r="N57" i="68"/>
  <c r="L57" i="68"/>
  <c r="B57" i="68"/>
  <c r="X56" i="68"/>
  <c r="T56" i="68"/>
  <c r="Z56" i="68" s="1"/>
  <c r="P56" i="68"/>
  <c r="N56" i="68"/>
  <c r="H56" i="68"/>
  <c r="D56" i="68"/>
  <c r="L56" i="68" s="1"/>
  <c r="B56" i="68"/>
  <c r="X55" i="68"/>
  <c r="Z55" i="68" s="1"/>
  <c r="N55" i="68"/>
  <c r="L55" i="68"/>
  <c r="B55" i="68"/>
  <c r="Z54" i="68"/>
  <c r="X54" i="68"/>
  <c r="L54" i="68"/>
  <c r="N54" i="68" s="1"/>
  <c r="B54" i="68"/>
  <c r="V53" i="68"/>
  <c r="T53" i="68"/>
  <c r="P53" i="68"/>
  <c r="X53" i="68" s="1"/>
  <c r="Z53" i="68" s="1"/>
  <c r="L53" i="68"/>
  <c r="N53" i="68" s="1"/>
  <c r="H53" i="68"/>
  <c r="D53" i="68"/>
  <c r="B53" i="68"/>
  <c r="X52" i="68"/>
  <c r="Z52" i="68" s="1"/>
  <c r="V52" i="68"/>
  <c r="L52" i="68"/>
  <c r="N52" i="68" s="1"/>
  <c r="B52" i="68"/>
  <c r="X51" i="68"/>
  <c r="Z51" i="68" s="1"/>
  <c r="T51" i="68"/>
  <c r="P51" i="68"/>
  <c r="H51" i="68"/>
  <c r="D51" i="68"/>
  <c r="B51" i="68"/>
  <c r="X50" i="68"/>
  <c r="Z50" i="68" s="1"/>
  <c r="N50" i="68"/>
  <c r="L50" i="68"/>
  <c r="B50" i="68"/>
  <c r="T49" i="68"/>
  <c r="P49" i="68"/>
  <c r="H49" i="68"/>
  <c r="D49" i="68"/>
  <c r="L49" i="68" s="1"/>
  <c r="N49" i="68" s="1"/>
  <c r="B49" i="68"/>
  <c r="X48" i="68"/>
  <c r="Z48" i="68" s="1"/>
  <c r="L48" i="68"/>
  <c r="N48" i="68" s="1"/>
  <c r="B48" i="68"/>
  <c r="T47" i="68"/>
  <c r="P47" i="68"/>
  <c r="X47" i="68" s="1"/>
  <c r="Z47" i="68" s="1"/>
  <c r="H47" i="68"/>
  <c r="D47" i="68"/>
  <c r="L47" i="68" s="1"/>
  <c r="N47" i="68" s="1"/>
  <c r="B47" i="68"/>
  <c r="Z46" i="68"/>
  <c r="X46" i="68"/>
  <c r="N46" i="68"/>
  <c r="L46" i="68"/>
  <c r="B46" i="68"/>
  <c r="Z45" i="68"/>
  <c r="X45" i="68"/>
  <c r="V45" i="68"/>
  <c r="N45" i="68"/>
  <c r="L45" i="68"/>
  <c r="B45" i="68"/>
  <c r="X44" i="68"/>
  <c r="Z44" i="68" s="1"/>
  <c r="N44" i="68"/>
  <c r="L44" i="68"/>
  <c r="B44" i="68"/>
  <c r="Z43" i="68"/>
  <c r="X43" i="68"/>
  <c r="V43" i="68"/>
  <c r="L43" i="68"/>
  <c r="N43" i="68" s="1"/>
  <c r="B43" i="68"/>
  <c r="Z42" i="68"/>
  <c r="X42" i="68"/>
  <c r="N42" i="68"/>
  <c r="L42" i="68"/>
  <c r="B42" i="68"/>
  <c r="Z41" i="68"/>
  <c r="X41" i="68"/>
  <c r="N41" i="68"/>
  <c r="L41" i="68"/>
  <c r="B41" i="68"/>
  <c r="X40" i="68"/>
  <c r="Z40" i="68" s="1"/>
  <c r="V40" i="68"/>
  <c r="L40" i="68"/>
  <c r="N40" i="68" s="1"/>
  <c r="B40" i="68"/>
  <c r="Z39" i="68"/>
  <c r="X39" i="68"/>
  <c r="N39" i="68"/>
  <c r="L39" i="68"/>
  <c r="B39" i="68"/>
  <c r="Z38" i="68"/>
  <c r="X38" i="68"/>
  <c r="L38" i="68"/>
  <c r="N38" i="68" s="1"/>
  <c r="B38" i="68"/>
  <c r="Z37" i="68"/>
  <c r="X37" i="68"/>
  <c r="V37" i="68"/>
  <c r="N37" i="68"/>
  <c r="L37" i="68"/>
  <c r="B37" i="68"/>
  <c r="X36" i="68"/>
  <c r="T36" i="68"/>
  <c r="Z36" i="68" s="1"/>
  <c r="P36" i="68"/>
  <c r="H36" i="68"/>
  <c r="D36" i="68"/>
  <c r="B36" i="68"/>
  <c r="X35" i="68"/>
  <c r="Z35" i="68" s="1"/>
  <c r="N35" i="68"/>
  <c r="L35" i="68"/>
  <c r="B35" i="68"/>
  <c r="Z34" i="68"/>
  <c r="X34" i="68"/>
  <c r="L34" i="68"/>
  <c r="N34" i="68" s="1"/>
  <c r="B34" i="68"/>
  <c r="Z33" i="68"/>
  <c r="X33" i="68"/>
  <c r="V33" i="68"/>
  <c r="N33" i="68"/>
  <c r="L33" i="68"/>
  <c r="B33" i="68"/>
  <c r="Z32" i="68"/>
  <c r="X32" i="68"/>
  <c r="N32" i="68"/>
  <c r="L32" i="68"/>
  <c r="B32" i="68"/>
  <c r="Z31" i="68"/>
  <c r="X31" i="68"/>
  <c r="V31" i="68"/>
  <c r="L31" i="68"/>
  <c r="N31" i="68" s="1"/>
  <c r="B31" i="68"/>
  <c r="X30" i="68"/>
  <c r="Z30" i="68" s="1"/>
  <c r="N30" i="68"/>
  <c r="L30" i="68"/>
  <c r="B30" i="68"/>
  <c r="Z29" i="68"/>
  <c r="X29" i="68"/>
  <c r="V29" i="68"/>
  <c r="N29" i="68"/>
  <c r="L29" i="68"/>
  <c r="B29" i="68"/>
  <c r="X28" i="68"/>
  <c r="Z28" i="68" s="1"/>
  <c r="V28" i="68"/>
  <c r="L28" i="68"/>
  <c r="N28" i="68" s="1"/>
  <c r="B28" i="68"/>
  <c r="X27" i="68"/>
  <c r="Z27" i="68" s="1"/>
  <c r="N27" i="68"/>
  <c r="L27" i="68"/>
  <c r="B27" i="68"/>
  <c r="Z26" i="68"/>
  <c r="T26" i="68"/>
  <c r="P26" i="68"/>
  <c r="X26" i="68" s="1"/>
  <c r="H26" i="68"/>
  <c r="D26" i="68"/>
  <c r="L26" i="68" s="1"/>
  <c r="B26" i="68"/>
  <c r="T25" i="68" a="1"/>
  <c r="T25" i="68" s="1"/>
  <c r="P25" i="68" a="1"/>
  <c r="P25" i="68" s="1"/>
  <c r="X25" i="68" s="1"/>
  <c r="H25" i="68" a="1"/>
  <c r="H25" i="68" s="1"/>
  <c r="D25" i="68" a="1"/>
  <c r="D25" i="68" s="1"/>
  <c r="L25" i="68" s="1"/>
  <c r="T23" i="68"/>
  <c r="Z21" i="68"/>
  <c r="X21" i="68"/>
  <c r="V21" i="68"/>
  <c r="N21" i="68"/>
  <c r="L21" i="68"/>
  <c r="B21" i="68"/>
  <c r="Z20" i="68"/>
  <c r="X20" i="68"/>
  <c r="N20" i="68"/>
  <c r="L20" i="68"/>
  <c r="B20" i="68"/>
  <c r="Z19" i="68"/>
  <c r="V19" i="68"/>
  <c r="T19" i="68"/>
  <c r="P19" i="68"/>
  <c r="X19" i="68" s="1"/>
  <c r="N19" i="68"/>
  <c r="H19" i="68"/>
  <c r="D19" i="68"/>
  <c r="L19" i="68" s="1"/>
  <c r="Z17" i="68"/>
  <c r="X17" i="68"/>
  <c r="P17" i="68"/>
  <c r="N17" i="68"/>
  <c r="L17" i="68"/>
  <c r="D17" i="68"/>
  <c r="B17" i="68"/>
  <c r="Z16" i="68"/>
  <c r="P16" i="68"/>
  <c r="N16" i="68"/>
  <c r="D16" i="68"/>
  <c r="L16" i="68" s="1"/>
  <c r="B16" i="68"/>
  <c r="Z15" i="68"/>
  <c r="P15" i="68"/>
  <c r="X15" i="68" s="1"/>
  <c r="N15" i="68"/>
  <c r="L15" i="68"/>
  <c r="D15" i="68"/>
  <c r="B15" i="68"/>
  <c r="X14" i="68"/>
  <c r="Z14" i="68" s="1"/>
  <c r="P14" i="68"/>
  <c r="L14" i="68"/>
  <c r="N14" i="68" s="1"/>
  <c r="D14" i="68"/>
  <c r="B14" i="68"/>
  <c r="Z13" i="68"/>
  <c r="P13" i="68"/>
  <c r="X13" i="68" s="1"/>
  <c r="D13" i="68"/>
  <c r="B13" i="68"/>
  <c r="T12" i="68"/>
  <c r="H12" i="68"/>
  <c r="J44" i="68" s="1"/>
  <c r="D6" i="68"/>
  <c r="D4" i="68"/>
  <c r="X115" i="67"/>
  <c r="Z115" i="67" s="1"/>
  <c r="N115" i="67"/>
  <c r="L115" i="67"/>
  <c r="Z111" i="67"/>
  <c r="X111" i="67"/>
  <c r="P111" i="67"/>
  <c r="N111" i="67"/>
  <c r="D111" i="67"/>
  <c r="L111" i="67" s="1"/>
  <c r="B111" i="67"/>
  <c r="P110" i="67"/>
  <c r="X110" i="67" s="1"/>
  <c r="Z110" i="67" s="1"/>
  <c r="N110" i="67"/>
  <c r="L110" i="67"/>
  <c r="D110" i="67"/>
  <c r="B110" i="67"/>
  <c r="X109" i="67"/>
  <c r="Z109" i="67" s="1"/>
  <c r="P109" i="67"/>
  <c r="D109" i="67"/>
  <c r="L109" i="67" s="1"/>
  <c r="N109" i="67" s="1"/>
  <c r="B109" i="67"/>
  <c r="P108" i="67"/>
  <c r="P107" i="67" s="1"/>
  <c r="X107" i="67" s="1"/>
  <c r="N108" i="67"/>
  <c r="L108" i="67"/>
  <c r="J108" i="67"/>
  <c r="D108" i="67"/>
  <c r="B108" i="67"/>
  <c r="T107" i="67"/>
  <c r="L107" i="67"/>
  <c r="H107" i="67"/>
  <c r="D107" i="67"/>
  <c r="Z105" i="67"/>
  <c r="X105" i="67"/>
  <c r="L105" i="67"/>
  <c r="N105" i="67" s="1"/>
  <c r="B105" i="67"/>
  <c r="Z104" i="67"/>
  <c r="X104" i="67"/>
  <c r="T104" i="67"/>
  <c r="P104" i="67"/>
  <c r="L104" i="67"/>
  <c r="N104" i="67" s="1"/>
  <c r="H104" i="67"/>
  <c r="D104" i="67"/>
  <c r="B104" i="67"/>
  <c r="Z103" i="67"/>
  <c r="X103" i="67"/>
  <c r="N103" i="67"/>
  <c r="L103" i="67"/>
  <c r="B103" i="67"/>
  <c r="Z102" i="67"/>
  <c r="X102" i="67"/>
  <c r="T102" i="67"/>
  <c r="P102" i="67"/>
  <c r="N102" i="67"/>
  <c r="H102" i="67"/>
  <c r="D102" i="67"/>
  <c r="L102" i="67" s="1"/>
  <c r="B102" i="67"/>
  <c r="X101" i="67"/>
  <c r="Z101" i="67" s="1"/>
  <c r="N101" i="67"/>
  <c r="L101" i="67"/>
  <c r="B101" i="67"/>
  <c r="T100" i="67"/>
  <c r="Z100" i="67" s="1"/>
  <c r="P100" i="67"/>
  <c r="X100" i="67" s="1"/>
  <c r="H100" i="67"/>
  <c r="D100" i="67"/>
  <c r="L100" i="67" s="1"/>
  <c r="N100" i="67" s="1"/>
  <c r="B100" i="67"/>
  <c r="X99" i="67"/>
  <c r="Z99" i="67" s="1"/>
  <c r="L99" i="67"/>
  <c r="N99" i="67" s="1"/>
  <c r="B99" i="67"/>
  <c r="Z98" i="67"/>
  <c r="X98" i="67"/>
  <c r="N98" i="67"/>
  <c r="L98" i="67"/>
  <c r="B98" i="67"/>
  <c r="X97" i="67"/>
  <c r="Z97" i="67" s="1"/>
  <c r="N97" i="67"/>
  <c r="L97" i="67"/>
  <c r="B97" i="67"/>
  <c r="Z96" i="67"/>
  <c r="X96" i="67"/>
  <c r="N96" i="67"/>
  <c r="L96" i="67"/>
  <c r="J96" i="67"/>
  <c r="B96" i="67"/>
  <c r="T95" i="67"/>
  <c r="P95" i="67"/>
  <c r="X95" i="67" s="1"/>
  <c r="L95" i="67"/>
  <c r="H95" i="67"/>
  <c r="D95" i="67"/>
  <c r="B95" i="67"/>
  <c r="Z94" i="67"/>
  <c r="X94" i="67"/>
  <c r="L94" i="67"/>
  <c r="N94" i="67" s="1"/>
  <c r="B94" i="67"/>
  <c r="X93" i="67"/>
  <c r="Z93" i="67" s="1"/>
  <c r="N93" i="67"/>
  <c r="L93" i="67"/>
  <c r="B93" i="67"/>
  <c r="T92" i="67"/>
  <c r="P92" i="67"/>
  <c r="J92" i="67"/>
  <c r="H92" i="67"/>
  <c r="D92" i="67"/>
  <c r="L92" i="67" s="1"/>
  <c r="N92" i="67" s="1"/>
  <c r="B92" i="67"/>
  <c r="X91" i="67"/>
  <c r="Z91" i="67" s="1"/>
  <c r="L91" i="67"/>
  <c r="N91" i="67" s="1"/>
  <c r="B91" i="67"/>
  <c r="Z90" i="67"/>
  <c r="X90" i="67"/>
  <c r="N90" i="67"/>
  <c r="L90" i="67"/>
  <c r="B90" i="67"/>
  <c r="X89" i="67"/>
  <c r="Z89" i="67" s="1"/>
  <c r="N89" i="67"/>
  <c r="L89" i="67"/>
  <c r="B89" i="67"/>
  <c r="T88" i="67"/>
  <c r="P88" i="67"/>
  <c r="J88" i="67"/>
  <c r="H88" i="67"/>
  <c r="D88" i="67"/>
  <c r="L88" i="67" s="1"/>
  <c r="N88" i="67" s="1"/>
  <c r="B88" i="67"/>
  <c r="Z87" i="67"/>
  <c r="X87" i="67"/>
  <c r="N87" i="67"/>
  <c r="L87" i="67"/>
  <c r="B87" i="67"/>
  <c r="Z86" i="67"/>
  <c r="X86" i="67"/>
  <c r="V86" i="67"/>
  <c r="N86" i="67"/>
  <c r="L86" i="67"/>
  <c r="B86" i="67"/>
  <c r="X85" i="67"/>
  <c r="T85" i="67"/>
  <c r="Z85" i="67" s="1"/>
  <c r="P85" i="67"/>
  <c r="L85" i="67"/>
  <c r="H85" i="67"/>
  <c r="N85" i="67" s="1"/>
  <c r="D85" i="67"/>
  <c r="B85" i="67"/>
  <c r="Z84" i="67"/>
  <c r="X84" i="67"/>
  <c r="N84" i="67"/>
  <c r="L84" i="67"/>
  <c r="B84" i="67"/>
  <c r="T83" i="67"/>
  <c r="P83" i="67"/>
  <c r="L83" i="67"/>
  <c r="H83" i="67"/>
  <c r="N83" i="67" s="1"/>
  <c r="D83" i="67"/>
  <c r="B83" i="67"/>
  <c r="X82" i="67"/>
  <c r="Z82" i="67" s="1"/>
  <c r="N82" i="67"/>
  <c r="L82" i="67"/>
  <c r="B82" i="67"/>
  <c r="Z81" i="67"/>
  <c r="T81" i="67"/>
  <c r="X81" i="67" s="1"/>
  <c r="P81" i="67"/>
  <c r="J81" i="67"/>
  <c r="H81" i="67"/>
  <c r="D81" i="67"/>
  <c r="L81" i="67" s="1"/>
  <c r="B81" i="67"/>
  <c r="Z80" i="67"/>
  <c r="X80" i="67"/>
  <c r="N80" i="67"/>
  <c r="L80" i="67"/>
  <c r="B80" i="67"/>
  <c r="T79" i="67"/>
  <c r="Z79" i="67" s="1"/>
  <c r="P79" i="67"/>
  <c r="X79" i="67" s="1"/>
  <c r="H79" i="67"/>
  <c r="N79" i="67" s="1"/>
  <c r="D79" i="67"/>
  <c r="L79" i="67" s="1"/>
  <c r="B79" i="67"/>
  <c r="Z78" i="67"/>
  <c r="X78" i="67"/>
  <c r="V78" i="67"/>
  <c r="N78" i="67"/>
  <c r="L78" i="67"/>
  <c r="J78" i="67"/>
  <c r="B78" i="67"/>
  <c r="X77" i="67"/>
  <c r="Z77" i="67" s="1"/>
  <c r="N77" i="67"/>
  <c r="L77" i="67"/>
  <c r="B77" i="67"/>
  <c r="Z76" i="67"/>
  <c r="T76" i="67"/>
  <c r="P76" i="67"/>
  <c r="X76" i="67" s="1"/>
  <c r="L76" i="67"/>
  <c r="N76" i="67" s="1"/>
  <c r="H76" i="67"/>
  <c r="D76" i="67"/>
  <c r="B76" i="67"/>
  <c r="Z75" i="67"/>
  <c r="X75" i="67"/>
  <c r="V75" i="67"/>
  <c r="N75" i="67"/>
  <c r="L75" i="67"/>
  <c r="B75" i="67"/>
  <c r="Z74" i="67"/>
  <c r="X74" i="67"/>
  <c r="T74" i="67"/>
  <c r="P74" i="67"/>
  <c r="H74" i="67"/>
  <c r="N74" i="67" s="1"/>
  <c r="D74" i="67"/>
  <c r="B74" i="67"/>
  <c r="X73" i="67"/>
  <c r="Z73" i="67" s="1"/>
  <c r="N73" i="67"/>
  <c r="L73" i="67"/>
  <c r="B73" i="67"/>
  <c r="T72" i="67"/>
  <c r="P72" i="67"/>
  <c r="J72" i="67"/>
  <c r="H72" i="67"/>
  <c r="N72" i="67" s="1"/>
  <c r="D72" i="67"/>
  <c r="L72" i="67" s="1"/>
  <c r="B72" i="67"/>
  <c r="Z71" i="67"/>
  <c r="X71" i="67"/>
  <c r="N71" i="67"/>
  <c r="L71" i="67"/>
  <c r="J71" i="67"/>
  <c r="B71" i="67"/>
  <c r="V70" i="67"/>
  <c r="T70" i="67"/>
  <c r="Z70" i="67" s="1"/>
  <c r="P70" i="67"/>
  <c r="X70" i="67" s="1"/>
  <c r="N70" i="67"/>
  <c r="L70" i="67"/>
  <c r="H70" i="67"/>
  <c r="D70" i="67"/>
  <c r="B70" i="67"/>
  <c r="Z69" i="67"/>
  <c r="X69" i="67"/>
  <c r="N69" i="67"/>
  <c r="L69" i="67"/>
  <c r="B69" i="67"/>
  <c r="Z68" i="67"/>
  <c r="X68" i="67"/>
  <c r="T68" i="67"/>
  <c r="P68" i="67"/>
  <c r="L68" i="67"/>
  <c r="H68" i="67"/>
  <c r="N68" i="67" s="1"/>
  <c r="D68" i="67"/>
  <c r="B68" i="67"/>
  <c r="Z67" i="67"/>
  <c r="X67" i="67"/>
  <c r="V67" i="67"/>
  <c r="N67" i="67"/>
  <c r="L67" i="67"/>
  <c r="B67" i="67"/>
  <c r="X66" i="67"/>
  <c r="T66" i="67"/>
  <c r="Z66" i="67" s="1"/>
  <c r="P66" i="67"/>
  <c r="N66" i="67"/>
  <c r="H66" i="67"/>
  <c r="D66" i="67"/>
  <c r="L66" i="67" s="1"/>
  <c r="B66" i="67"/>
  <c r="X65" i="67"/>
  <c r="Z65" i="67" s="1"/>
  <c r="N65" i="67"/>
  <c r="L65" i="67"/>
  <c r="B65" i="67"/>
  <c r="T64" i="67"/>
  <c r="P64" i="67"/>
  <c r="X64" i="67" s="1"/>
  <c r="Z64" i="67" s="1"/>
  <c r="J64" i="67"/>
  <c r="H64" i="67"/>
  <c r="D64" i="67"/>
  <c r="L64" i="67" s="1"/>
  <c r="B64" i="67"/>
  <c r="Z63" i="67"/>
  <c r="X63" i="67"/>
  <c r="N63" i="67"/>
  <c r="L63" i="67"/>
  <c r="J63" i="67"/>
  <c r="B63" i="67"/>
  <c r="Z62" i="67"/>
  <c r="X62" i="67"/>
  <c r="V62" i="67"/>
  <c r="N62" i="67"/>
  <c r="L62" i="67"/>
  <c r="B62" i="67"/>
  <c r="X61" i="67"/>
  <c r="Z61" i="67" s="1"/>
  <c r="N61" i="67"/>
  <c r="L61" i="67"/>
  <c r="B61" i="67"/>
  <c r="Z60" i="67"/>
  <c r="X60" i="67"/>
  <c r="L60" i="67"/>
  <c r="N60" i="67" s="1"/>
  <c r="B60" i="67"/>
  <c r="Z59" i="67"/>
  <c r="X59" i="67"/>
  <c r="V59" i="67"/>
  <c r="N59" i="67"/>
  <c r="L59" i="67"/>
  <c r="B59" i="67"/>
  <c r="Z58" i="67"/>
  <c r="X58" i="67"/>
  <c r="N58" i="67"/>
  <c r="L58" i="67"/>
  <c r="J58" i="67"/>
  <c r="B58" i="67"/>
  <c r="Z57" i="67"/>
  <c r="X57" i="67"/>
  <c r="L57" i="67"/>
  <c r="N57" i="67" s="1"/>
  <c r="B57" i="67"/>
  <c r="Z56" i="67"/>
  <c r="X56" i="67"/>
  <c r="N56" i="67"/>
  <c r="L56" i="67"/>
  <c r="B56" i="67"/>
  <c r="Z55" i="67"/>
  <c r="X55" i="67"/>
  <c r="L55" i="67"/>
  <c r="N55" i="67" s="1"/>
  <c r="J55" i="67"/>
  <c r="B55" i="67"/>
  <c r="Z54" i="67"/>
  <c r="X54" i="67"/>
  <c r="V54" i="67"/>
  <c r="N54" i="67"/>
  <c r="L54" i="67"/>
  <c r="B54" i="67"/>
  <c r="X53" i="67"/>
  <c r="T53" i="67"/>
  <c r="R53" i="67"/>
  <c r="P53" i="67"/>
  <c r="H53" i="67"/>
  <c r="D53" i="67"/>
  <c r="L53" i="67" s="1"/>
  <c r="B53" i="67"/>
  <c r="X52" i="67"/>
  <c r="Z52" i="67" s="1"/>
  <c r="N52" i="67"/>
  <c r="L52" i="67"/>
  <c r="B52" i="67"/>
  <c r="Z51" i="67"/>
  <c r="X51" i="67"/>
  <c r="L51" i="67"/>
  <c r="N51" i="67" s="1"/>
  <c r="J51" i="67"/>
  <c r="B51" i="67"/>
  <c r="X50" i="67"/>
  <c r="Z50" i="67" s="1"/>
  <c r="V50" i="67"/>
  <c r="L50" i="67"/>
  <c r="N50" i="67" s="1"/>
  <c r="B50" i="67"/>
  <c r="Z49" i="67"/>
  <c r="X49" i="67"/>
  <c r="N49" i="67"/>
  <c r="L49" i="67"/>
  <c r="B49" i="67"/>
  <c r="Z48" i="67"/>
  <c r="X48" i="67"/>
  <c r="L48" i="67"/>
  <c r="N48" i="67" s="1"/>
  <c r="B48" i="67"/>
  <c r="X47" i="67"/>
  <c r="Z47" i="67" s="1"/>
  <c r="V47" i="67"/>
  <c r="N47" i="67"/>
  <c r="L47" i="67"/>
  <c r="B47" i="67"/>
  <c r="X46" i="67"/>
  <c r="Z46" i="67" s="1"/>
  <c r="L46" i="67"/>
  <c r="N46" i="67" s="1"/>
  <c r="J46" i="67"/>
  <c r="B46" i="67"/>
  <c r="Z45" i="67"/>
  <c r="X45" i="67"/>
  <c r="L45" i="67"/>
  <c r="N45" i="67" s="1"/>
  <c r="B45" i="67"/>
  <c r="X44" i="67"/>
  <c r="Z44" i="67" s="1"/>
  <c r="N44" i="67"/>
  <c r="L44" i="67"/>
  <c r="B44" i="67"/>
  <c r="T43" i="67"/>
  <c r="P43" i="67"/>
  <c r="N43" i="67"/>
  <c r="J43" i="67"/>
  <c r="H43" i="67"/>
  <c r="D43" i="67"/>
  <c r="L43" i="67" s="1"/>
  <c r="B43" i="67"/>
  <c r="X42" i="67"/>
  <c r="T42" i="67" a="1"/>
  <c r="T42" i="67" s="1"/>
  <c r="P42" i="67" a="1"/>
  <c r="P42" i="67" s="1"/>
  <c r="L42" i="67"/>
  <c r="H42" i="67" a="1"/>
  <c r="H42" i="67" s="1"/>
  <c r="D42" i="67" a="1"/>
  <c r="D42" i="67" s="1"/>
  <c r="T40" i="67"/>
  <c r="H40" i="67"/>
  <c r="H113" i="67" s="1"/>
  <c r="Z38" i="67"/>
  <c r="X38" i="67"/>
  <c r="V38" i="67"/>
  <c r="N38" i="67"/>
  <c r="L38" i="67"/>
  <c r="B38" i="67"/>
  <c r="Z37" i="67"/>
  <c r="X37" i="67"/>
  <c r="N37" i="67"/>
  <c r="L37" i="67"/>
  <c r="J37" i="67"/>
  <c r="B37" i="67"/>
  <c r="Z36" i="67"/>
  <c r="X36" i="67"/>
  <c r="R36" i="67"/>
  <c r="N36" i="67"/>
  <c r="L36" i="67"/>
  <c r="B36" i="67"/>
  <c r="Z35" i="67"/>
  <c r="X35" i="67"/>
  <c r="V35" i="67"/>
  <c r="N35" i="67"/>
  <c r="L35" i="67"/>
  <c r="B35" i="67"/>
  <c r="Z34" i="67"/>
  <c r="X34" i="67"/>
  <c r="N34" i="67"/>
  <c r="L34" i="67"/>
  <c r="J34" i="67"/>
  <c r="B34" i="67"/>
  <c r="Z33" i="67"/>
  <c r="X33" i="67"/>
  <c r="V33" i="67"/>
  <c r="N33" i="67"/>
  <c r="L33" i="67"/>
  <c r="B33" i="67"/>
  <c r="Z32" i="67"/>
  <c r="X32" i="67"/>
  <c r="N32" i="67"/>
  <c r="L32" i="67"/>
  <c r="B32" i="67"/>
  <c r="Z31" i="67"/>
  <c r="X31" i="67"/>
  <c r="N31" i="67"/>
  <c r="L31" i="67"/>
  <c r="J31" i="67"/>
  <c r="B31" i="67"/>
  <c r="Z30" i="67"/>
  <c r="X30" i="67"/>
  <c r="V30" i="67"/>
  <c r="N30" i="67"/>
  <c r="L30" i="67"/>
  <c r="B30" i="67"/>
  <c r="Z29" i="67"/>
  <c r="X29" i="67"/>
  <c r="N29" i="67"/>
  <c r="L29" i="67"/>
  <c r="J29" i="67"/>
  <c r="B29" i="67"/>
  <c r="Z28" i="67"/>
  <c r="X28" i="67"/>
  <c r="N28" i="67"/>
  <c r="L28" i="67"/>
  <c r="B28" i="67"/>
  <c r="Z27" i="67"/>
  <c r="X27" i="67"/>
  <c r="V27" i="67"/>
  <c r="N27" i="67"/>
  <c r="L27" i="67"/>
  <c r="B27" i="67"/>
  <c r="Z26" i="67"/>
  <c r="X26" i="67"/>
  <c r="N26" i="67"/>
  <c r="L26" i="67"/>
  <c r="J26" i="67"/>
  <c r="B26" i="67"/>
  <c r="Z25" i="67"/>
  <c r="X25" i="67"/>
  <c r="V25" i="67"/>
  <c r="N25" i="67"/>
  <c r="L25" i="67"/>
  <c r="B25" i="67"/>
  <c r="Z24" i="67"/>
  <c r="X24" i="67"/>
  <c r="N24" i="67"/>
  <c r="L24" i="67"/>
  <c r="B24" i="67"/>
  <c r="Z23" i="67"/>
  <c r="X23" i="67"/>
  <c r="N23" i="67"/>
  <c r="L23" i="67"/>
  <c r="J23" i="67"/>
  <c r="B23" i="67"/>
  <c r="Z22" i="67"/>
  <c r="X22" i="67"/>
  <c r="V22" i="67"/>
  <c r="N22" i="67"/>
  <c r="L22" i="67"/>
  <c r="B22" i="67"/>
  <c r="Z21" i="67"/>
  <c r="X21" i="67"/>
  <c r="N21" i="67"/>
  <c r="L21" i="67"/>
  <c r="J21" i="67"/>
  <c r="B21" i="67"/>
  <c r="Z20" i="67"/>
  <c r="X20" i="67"/>
  <c r="L20" i="67"/>
  <c r="N20" i="67" s="1"/>
  <c r="B20" i="67"/>
  <c r="V19" i="67"/>
  <c r="T19" i="67"/>
  <c r="P19" i="67"/>
  <c r="L19" i="67"/>
  <c r="H19" i="67"/>
  <c r="N19" i="67" s="1"/>
  <c r="D19" i="67"/>
  <c r="Z17" i="67"/>
  <c r="P17" i="67"/>
  <c r="X17" i="67" s="1"/>
  <c r="N17" i="67"/>
  <c r="D17" i="67"/>
  <c r="L17" i="67" s="1"/>
  <c r="B17" i="67"/>
  <c r="Z16" i="67"/>
  <c r="X16" i="67"/>
  <c r="P16" i="67"/>
  <c r="N16" i="67"/>
  <c r="L16" i="67"/>
  <c r="D16" i="67"/>
  <c r="B16" i="67"/>
  <c r="Z15" i="67"/>
  <c r="P15" i="67"/>
  <c r="X15" i="67" s="1"/>
  <c r="N15" i="67"/>
  <c r="D15" i="67"/>
  <c r="B15" i="67"/>
  <c r="Z14" i="67"/>
  <c r="X14" i="67"/>
  <c r="P14" i="67"/>
  <c r="N14" i="67"/>
  <c r="D14" i="67"/>
  <c r="L14" i="67" s="1"/>
  <c r="B14" i="67"/>
  <c r="P13" i="67"/>
  <c r="X13" i="67" s="1"/>
  <c r="Z13" i="67" s="1"/>
  <c r="L13" i="67"/>
  <c r="N13" i="67" s="1"/>
  <c r="D13" i="67"/>
  <c r="B13" i="67"/>
  <c r="T12" i="67"/>
  <c r="P12" i="67"/>
  <c r="R60" i="67" s="1"/>
  <c r="H12" i="67"/>
  <c r="J75" i="67" s="1"/>
  <c r="D6" i="67"/>
  <c r="D4" i="67"/>
  <c r="Z95" i="65"/>
  <c r="X95" i="65"/>
  <c r="N95" i="65"/>
  <c r="L95" i="65"/>
  <c r="Z91" i="65"/>
  <c r="X91" i="65"/>
  <c r="P91" i="65"/>
  <c r="N91" i="65"/>
  <c r="L91" i="65"/>
  <c r="D91" i="65"/>
  <c r="B91" i="65"/>
  <c r="Z90" i="65"/>
  <c r="P90" i="65"/>
  <c r="X90" i="65" s="1"/>
  <c r="N90" i="65"/>
  <c r="L90" i="65"/>
  <c r="D90" i="65"/>
  <c r="B90" i="65"/>
  <c r="Z89" i="65"/>
  <c r="P89" i="65"/>
  <c r="X89" i="65" s="1"/>
  <c r="N89" i="65"/>
  <c r="D89" i="65"/>
  <c r="L89" i="65" s="1"/>
  <c r="B89" i="65"/>
  <c r="P88" i="65"/>
  <c r="X88" i="65" s="1"/>
  <c r="Z88" i="65" s="1"/>
  <c r="N88" i="65"/>
  <c r="D88" i="65"/>
  <c r="L88" i="65" s="1"/>
  <c r="B88" i="65"/>
  <c r="T87" i="65"/>
  <c r="P87" i="65"/>
  <c r="X87" i="65" s="1"/>
  <c r="L87" i="65"/>
  <c r="H87" i="65"/>
  <c r="N87" i="65" s="1"/>
  <c r="D87" i="65"/>
  <c r="Z85" i="65"/>
  <c r="X85" i="65"/>
  <c r="N85" i="65"/>
  <c r="L85" i="65"/>
  <c r="J85" i="65"/>
  <c r="B85" i="65"/>
  <c r="Z84" i="65"/>
  <c r="T84" i="65"/>
  <c r="P84" i="65"/>
  <c r="X84" i="65" s="1"/>
  <c r="N84" i="65"/>
  <c r="L84" i="65"/>
  <c r="H84" i="65"/>
  <c r="D84" i="65"/>
  <c r="B84" i="65"/>
  <c r="Z83" i="65"/>
  <c r="X83" i="65"/>
  <c r="L83" i="65"/>
  <c r="N83" i="65" s="1"/>
  <c r="B83" i="65"/>
  <c r="Z82" i="65"/>
  <c r="X82" i="65"/>
  <c r="N82" i="65"/>
  <c r="L82" i="65"/>
  <c r="B82" i="65"/>
  <c r="T81" i="65"/>
  <c r="P81" i="65"/>
  <c r="N81" i="65"/>
  <c r="H81" i="65"/>
  <c r="D81" i="65"/>
  <c r="L81" i="65" s="1"/>
  <c r="B81" i="65"/>
  <c r="X80" i="65"/>
  <c r="Z80" i="65" s="1"/>
  <c r="N80" i="65"/>
  <c r="L80" i="65"/>
  <c r="J80" i="65"/>
  <c r="B80" i="65"/>
  <c r="Z79" i="65"/>
  <c r="X79" i="65"/>
  <c r="L79" i="65"/>
  <c r="N79" i="65" s="1"/>
  <c r="B79" i="65"/>
  <c r="X78" i="65"/>
  <c r="Z78" i="65" s="1"/>
  <c r="T78" i="65"/>
  <c r="P78" i="65"/>
  <c r="L78" i="65"/>
  <c r="H78" i="65"/>
  <c r="D78" i="65"/>
  <c r="B78" i="65"/>
  <c r="X77" i="65"/>
  <c r="Z77" i="65" s="1"/>
  <c r="N77" i="65"/>
  <c r="L77" i="65"/>
  <c r="B77" i="65"/>
  <c r="X76" i="65"/>
  <c r="Z76" i="65" s="1"/>
  <c r="L76" i="65"/>
  <c r="N76" i="65" s="1"/>
  <c r="J76" i="65"/>
  <c r="B76" i="65"/>
  <c r="T75" i="65"/>
  <c r="P75" i="65"/>
  <c r="X75" i="65" s="1"/>
  <c r="Z75" i="65" s="1"/>
  <c r="L75" i="65"/>
  <c r="N75" i="65" s="1"/>
  <c r="J75" i="65"/>
  <c r="H75" i="65"/>
  <c r="D75" i="65"/>
  <c r="B75" i="65"/>
  <c r="Z74" i="65"/>
  <c r="X74" i="65"/>
  <c r="L74" i="65"/>
  <c r="N74" i="65" s="1"/>
  <c r="B74" i="65"/>
  <c r="X73" i="65"/>
  <c r="Z73" i="65" s="1"/>
  <c r="N73" i="65"/>
  <c r="L73" i="65"/>
  <c r="B73" i="65"/>
  <c r="Z72" i="65"/>
  <c r="X72" i="65"/>
  <c r="N72" i="65"/>
  <c r="L72" i="65"/>
  <c r="J72" i="65"/>
  <c r="B72" i="65"/>
  <c r="Z71" i="65"/>
  <c r="T71" i="65"/>
  <c r="P71" i="65"/>
  <c r="X71" i="65" s="1"/>
  <c r="L71" i="65"/>
  <c r="N71" i="65" s="1"/>
  <c r="J71" i="65"/>
  <c r="H71" i="65"/>
  <c r="D71" i="65"/>
  <c r="B71" i="65"/>
  <c r="Z70" i="65"/>
  <c r="X70" i="65"/>
  <c r="L70" i="65"/>
  <c r="N70" i="65" s="1"/>
  <c r="B70" i="65"/>
  <c r="X69" i="65"/>
  <c r="Z69" i="65" s="1"/>
  <c r="T69" i="65"/>
  <c r="P69" i="65"/>
  <c r="L69" i="65"/>
  <c r="H69" i="65"/>
  <c r="D69" i="65"/>
  <c r="B69" i="65"/>
  <c r="X68" i="65"/>
  <c r="Z68" i="65" s="1"/>
  <c r="L68" i="65"/>
  <c r="N68" i="65" s="1"/>
  <c r="B68" i="65"/>
  <c r="X67" i="65"/>
  <c r="T67" i="65"/>
  <c r="Z67" i="65" s="1"/>
  <c r="P67" i="65"/>
  <c r="H67" i="65"/>
  <c r="D67" i="65"/>
  <c r="B67" i="65"/>
  <c r="Z66" i="65"/>
  <c r="X66" i="65"/>
  <c r="N66" i="65"/>
  <c r="L66" i="65"/>
  <c r="B66" i="65"/>
  <c r="Z65" i="65"/>
  <c r="X65" i="65"/>
  <c r="L65" i="65"/>
  <c r="N65" i="65" s="1"/>
  <c r="J65" i="65"/>
  <c r="B65" i="65"/>
  <c r="T64" i="65"/>
  <c r="Z64" i="65" s="1"/>
  <c r="P64" i="65"/>
  <c r="X64" i="65" s="1"/>
  <c r="L64" i="65"/>
  <c r="N64" i="65" s="1"/>
  <c r="H64" i="65"/>
  <c r="D64" i="65"/>
  <c r="B64" i="65"/>
  <c r="Z63" i="65"/>
  <c r="X63" i="65"/>
  <c r="L63" i="65"/>
  <c r="N63" i="65" s="1"/>
  <c r="B63" i="65"/>
  <c r="X62" i="65"/>
  <c r="Z62" i="65" s="1"/>
  <c r="T62" i="65"/>
  <c r="P62" i="65"/>
  <c r="L62" i="65"/>
  <c r="H62" i="65"/>
  <c r="N62" i="65" s="1"/>
  <c r="D62" i="65"/>
  <c r="B62" i="65"/>
  <c r="X61" i="65"/>
  <c r="Z61" i="65" s="1"/>
  <c r="N61" i="65"/>
  <c r="L61" i="65"/>
  <c r="B61" i="65"/>
  <c r="X60" i="65"/>
  <c r="T60" i="65"/>
  <c r="Z60" i="65" s="1"/>
  <c r="P60" i="65"/>
  <c r="H60" i="65"/>
  <c r="D60" i="65"/>
  <c r="B60" i="65"/>
  <c r="Z59" i="65"/>
  <c r="X59" i="65"/>
  <c r="N59" i="65"/>
  <c r="L59" i="65"/>
  <c r="B59" i="65"/>
  <c r="Z58" i="65"/>
  <c r="T58" i="65"/>
  <c r="P58" i="65"/>
  <c r="J58" i="65"/>
  <c r="H58" i="65"/>
  <c r="N58" i="65" s="1"/>
  <c r="D58" i="65"/>
  <c r="L58" i="65" s="1"/>
  <c r="B58" i="65"/>
  <c r="Z57" i="65"/>
  <c r="X57" i="65"/>
  <c r="L57" i="65"/>
  <c r="N57" i="65" s="1"/>
  <c r="J57" i="65"/>
  <c r="B57" i="65"/>
  <c r="T56" i="65"/>
  <c r="Z56" i="65" s="1"/>
  <c r="P56" i="65"/>
  <c r="X56" i="65" s="1"/>
  <c r="L56" i="65"/>
  <c r="N56" i="65" s="1"/>
  <c r="H56" i="65"/>
  <c r="D56" i="65"/>
  <c r="B56" i="65"/>
  <c r="Z55" i="65"/>
  <c r="X55" i="65"/>
  <c r="N55" i="65"/>
  <c r="L55" i="65"/>
  <c r="B55" i="65"/>
  <c r="Z54" i="65"/>
  <c r="X54" i="65"/>
  <c r="N54" i="65"/>
  <c r="L54" i="65"/>
  <c r="B54" i="65"/>
  <c r="Z53" i="65"/>
  <c r="X53" i="65"/>
  <c r="L53" i="65"/>
  <c r="N53" i="65" s="1"/>
  <c r="J53" i="65"/>
  <c r="B53" i="65"/>
  <c r="X52" i="65"/>
  <c r="Z52" i="65" s="1"/>
  <c r="N52" i="65"/>
  <c r="L52" i="65"/>
  <c r="B52" i="65"/>
  <c r="Z51" i="65"/>
  <c r="X51" i="65"/>
  <c r="N51" i="65"/>
  <c r="L51" i="65"/>
  <c r="B51" i="65"/>
  <c r="Z50" i="65"/>
  <c r="X50" i="65"/>
  <c r="L50" i="65"/>
  <c r="N50" i="65" s="1"/>
  <c r="B50" i="65"/>
  <c r="X49" i="65"/>
  <c r="Z49" i="65" s="1"/>
  <c r="N49" i="65"/>
  <c r="L49" i="65"/>
  <c r="B49" i="65"/>
  <c r="Z48" i="65"/>
  <c r="X48" i="65"/>
  <c r="N48" i="65"/>
  <c r="L48" i="65"/>
  <c r="J48" i="65"/>
  <c r="B48" i="65"/>
  <c r="Z47" i="65"/>
  <c r="X47" i="65"/>
  <c r="L47" i="65"/>
  <c r="N47" i="65" s="1"/>
  <c r="B47" i="65"/>
  <c r="Z46" i="65"/>
  <c r="X46" i="65"/>
  <c r="N46" i="65"/>
  <c r="L46" i="65"/>
  <c r="B46" i="65"/>
  <c r="T45" i="65"/>
  <c r="P45" i="65"/>
  <c r="N45" i="65"/>
  <c r="H45" i="65"/>
  <c r="D45" i="65"/>
  <c r="L45" i="65" s="1"/>
  <c r="B45" i="65"/>
  <c r="X44" i="65"/>
  <c r="Z44" i="65" s="1"/>
  <c r="L44" i="65"/>
  <c r="N44" i="65" s="1"/>
  <c r="J44" i="65"/>
  <c r="B44" i="65"/>
  <c r="Z43" i="65"/>
  <c r="X43" i="65"/>
  <c r="L43" i="65"/>
  <c r="N43" i="65" s="1"/>
  <c r="B43" i="65"/>
  <c r="X42" i="65"/>
  <c r="Z42" i="65" s="1"/>
  <c r="N42" i="65"/>
  <c r="L42" i="65"/>
  <c r="B42" i="65"/>
  <c r="Z41" i="65"/>
  <c r="X41" i="65"/>
  <c r="N41" i="65"/>
  <c r="L41" i="65"/>
  <c r="J41" i="65"/>
  <c r="B41" i="65"/>
  <c r="Z40" i="65"/>
  <c r="X40" i="65"/>
  <c r="N40" i="65"/>
  <c r="L40" i="65"/>
  <c r="B40" i="65"/>
  <c r="X39" i="65"/>
  <c r="Z39" i="65" s="1"/>
  <c r="N39" i="65"/>
  <c r="L39" i="65"/>
  <c r="B39" i="65"/>
  <c r="Z38" i="65"/>
  <c r="X38" i="65"/>
  <c r="L38" i="65"/>
  <c r="N38" i="65" s="1"/>
  <c r="B38" i="65"/>
  <c r="X37" i="65"/>
  <c r="Z37" i="65" s="1"/>
  <c r="N37" i="65"/>
  <c r="L37" i="65"/>
  <c r="B37" i="65"/>
  <c r="X36" i="65"/>
  <c r="Z36" i="65" s="1"/>
  <c r="L36" i="65"/>
  <c r="N36" i="65" s="1"/>
  <c r="J36" i="65"/>
  <c r="B36" i="65"/>
  <c r="Z35" i="65"/>
  <c r="X35" i="65"/>
  <c r="L35" i="65"/>
  <c r="N35" i="65" s="1"/>
  <c r="B35" i="65"/>
  <c r="X34" i="65"/>
  <c r="Z34" i="65" s="1"/>
  <c r="T34" i="65"/>
  <c r="P34" i="65"/>
  <c r="L34" i="65"/>
  <c r="H34" i="65"/>
  <c r="D34" i="65"/>
  <c r="B34" i="65"/>
  <c r="T33" i="65" a="1"/>
  <c r="T33" i="65"/>
  <c r="Z33" i="65" s="1"/>
  <c r="P33" i="65" a="1"/>
  <c r="P33" i="65"/>
  <c r="X33" i="65" s="1"/>
  <c r="J33" i="65"/>
  <c r="H33" i="65" a="1"/>
  <c r="H33" i="65"/>
  <c r="D33" i="65" a="1"/>
  <c r="D33" i="65"/>
  <c r="L33" i="65" s="1"/>
  <c r="Z29" i="65"/>
  <c r="X29" i="65"/>
  <c r="N29" i="65"/>
  <c r="L29" i="65"/>
  <c r="J29" i="65"/>
  <c r="B29" i="65"/>
  <c r="Z28" i="65"/>
  <c r="X28" i="65"/>
  <c r="N28" i="65"/>
  <c r="L28" i="65"/>
  <c r="B28" i="65"/>
  <c r="Z27" i="65"/>
  <c r="X27" i="65"/>
  <c r="N27" i="65"/>
  <c r="L27" i="65"/>
  <c r="B27" i="65"/>
  <c r="Z26" i="65"/>
  <c r="X26" i="65"/>
  <c r="N26" i="65"/>
  <c r="L26" i="65"/>
  <c r="B26" i="65"/>
  <c r="Z25" i="65"/>
  <c r="X25" i="65"/>
  <c r="N25" i="65"/>
  <c r="L25" i="65"/>
  <c r="B25" i="65"/>
  <c r="Z24" i="65"/>
  <c r="X24" i="65"/>
  <c r="N24" i="65"/>
  <c r="L24" i="65"/>
  <c r="J24" i="65"/>
  <c r="B24" i="65"/>
  <c r="Z23" i="65"/>
  <c r="X23" i="65"/>
  <c r="N23" i="65"/>
  <c r="L23" i="65"/>
  <c r="B23" i="65"/>
  <c r="Z22" i="65"/>
  <c r="X22" i="65"/>
  <c r="N22" i="65"/>
  <c r="L22" i="65"/>
  <c r="B22" i="65"/>
  <c r="Z21" i="65"/>
  <c r="X21" i="65"/>
  <c r="N21" i="65"/>
  <c r="L21" i="65"/>
  <c r="J21" i="65"/>
  <c r="B21" i="65"/>
  <c r="X20" i="65"/>
  <c r="Z20" i="65" s="1"/>
  <c r="L20" i="65"/>
  <c r="N20" i="65" s="1"/>
  <c r="B20" i="65"/>
  <c r="X19" i="65"/>
  <c r="Z19" i="65" s="1"/>
  <c r="T19" i="65"/>
  <c r="P19" i="65"/>
  <c r="H19" i="65"/>
  <c r="D19" i="65"/>
  <c r="Z17" i="65"/>
  <c r="P17" i="65"/>
  <c r="X17" i="65" s="1"/>
  <c r="N17" i="65"/>
  <c r="D17" i="65"/>
  <c r="B17" i="65"/>
  <c r="Z16" i="65"/>
  <c r="X16" i="65"/>
  <c r="P16" i="65"/>
  <c r="N16" i="65"/>
  <c r="D16" i="65"/>
  <c r="L16" i="65" s="1"/>
  <c r="B16" i="65"/>
  <c r="Z15" i="65"/>
  <c r="P15" i="65"/>
  <c r="X15" i="65" s="1"/>
  <c r="N15" i="65"/>
  <c r="L15" i="65"/>
  <c r="D15" i="65"/>
  <c r="B15" i="65"/>
  <c r="Z14" i="65"/>
  <c r="P14" i="65"/>
  <c r="X14" i="65" s="1"/>
  <c r="N14" i="65"/>
  <c r="D14" i="65"/>
  <c r="L14" i="65" s="1"/>
  <c r="B14" i="65"/>
  <c r="X13" i="65"/>
  <c r="Z13" i="65" s="1"/>
  <c r="P13" i="65"/>
  <c r="L13" i="65"/>
  <c r="N13" i="65" s="1"/>
  <c r="D13" i="65"/>
  <c r="B13" i="65"/>
  <c r="T12" i="65"/>
  <c r="V84" i="65" s="1"/>
  <c r="H12" i="65"/>
  <c r="J91" i="65" s="1"/>
  <c r="D6" i="65"/>
  <c r="D4" i="65"/>
  <c r="J66" i="64"/>
  <c r="Z61" i="64"/>
  <c r="X61" i="64"/>
  <c r="R61" i="64"/>
  <c r="N61" i="64"/>
  <c r="L61" i="64"/>
  <c r="J59" i="64"/>
  <c r="T57" i="64"/>
  <c r="Z57" i="64" s="1"/>
  <c r="R57" i="64"/>
  <c r="P57" i="64"/>
  <c r="L57" i="64"/>
  <c r="H57" i="64"/>
  <c r="N57" i="64" s="1"/>
  <c r="D57" i="64"/>
  <c r="Z55" i="64"/>
  <c r="X55" i="64"/>
  <c r="R55" i="64"/>
  <c r="N55" i="64"/>
  <c r="L55" i="64"/>
  <c r="B55" i="64"/>
  <c r="T54" i="64"/>
  <c r="Z54" i="64" s="1"/>
  <c r="P54" i="64"/>
  <c r="X54" i="64" s="1"/>
  <c r="N54" i="64"/>
  <c r="L54" i="64"/>
  <c r="H54" i="64"/>
  <c r="D54" i="64"/>
  <c r="B54" i="64"/>
  <c r="Z53" i="64"/>
  <c r="X53" i="64"/>
  <c r="N53" i="64"/>
  <c r="L53" i="64"/>
  <c r="B53" i="64"/>
  <c r="Z52" i="64"/>
  <c r="X52" i="64"/>
  <c r="T52" i="64"/>
  <c r="R52" i="64"/>
  <c r="P52" i="64"/>
  <c r="H52" i="64"/>
  <c r="N52" i="64" s="1"/>
  <c r="D52" i="64"/>
  <c r="L52" i="64" s="1"/>
  <c r="B52" i="64"/>
  <c r="Z51" i="64"/>
  <c r="X51" i="64"/>
  <c r="N51" i="64"/>
  <c r="L51" i="64"/>
  <c r="B51" i="64"/>
  <c r="Z50" i="64"/>
  <c r="X50" i="64"/>
  <c r="R50" i="64"/>
  <c r="N50" i="64"/>
  <c r="L50" i="64"/>
  <c r="J50" i="64"/>
  <c r="B50" i="64"/>
  <c r="T49" i="64"/>
  <c r="Z49" i="64" s="1"/>
  <c r="P49" i="64"/>
  <c r="X49" i="64" s="1"/>
  <c r="N49" i="64"/>
  <c r="L49" i="64"/>
  <c r="H49" i="64"/>
  <c r="D49" i="64"/>
  <c r="B49" i="64"/>
  <c r="Z48" i="64"/>
  <c r="X48" i="64"/>
  <c r="N48" i="64"/>
  <c r="L48" i="64"/>
  <c r="B48" i="64"/>
  <c r="Z47" i="64"/>
  <c r="X47" i="64"/>
  <c r="N47" i="64"/>
  <c r="L47" i="64"/>
  <c r="B47" i="64"/>
  <c r="T46" i="64"/>
  <c r="Z46" i="64" s="1"/>
  <c r="P46" i="64"/>
  <c r="N46" i="64"/>
  <c r="H46" i="64"/>
  <c r="D46" i="64"/>
  <c r="L46" i="64" s="1"/>
  <c r="B46" i="64"/>
  <c r="Z45" i="64"/>
  <c r="X45" i="64"/>
  <c r="N45" i="64"/>
  <c r="L45" i="64"/>
  <c r="J45" i="64"/>
  <c r="B45" i="64"/>
  <c r="Z44" i="64"/>
  <c r="X44" i="64"/>
  <c r="N44" i="64"/>
  <c r="L44" i="64"/>
  <c r="B44" i="64"/>
  <c r="Z43" i="64"/>
  <c r="X43" i="64"/>
  <c r="T43" i="64"/>
  <c r="R43" i="64"/>
  <c r="P43" i="64"/>
  <c r="L43" i="64"/>
  <c r="H43" i="64"/>
  <c r="N43" i="64" s="1"/>
  <c r="D43" i="64"/>
  <c r="B43" i="64"/>
  <c r="Z42" i="64"/>
  <c r="X42" i="64"/>
  <c r="N42" i="64"/>
  <c r="L42" i="64"/>
  <c r="B42" i="64"/>
  <c r="X41" i="64"/>
  <c r="T41" i="64"/>
  <c r="Z41" i="64" s="1"/>
  <c r="P41" i="64"/>
  <c r="H41" i="64"/>
  <c r="N41" i="64" s="1"/>
  <c r="D41" i="64"/>
  <c r="B41" i="64"/>
  <c r="Z40" i="64"/>
  <c r="X40" i="64"/>
  <c r="N40" i="64"/>
  <c r="L40" i="64"/>
  <c r="B40" i="64"/>
  <c r="Z39" i="64"/>
  <c r="T39" i="64"/>
  <c r="P39" i="64"/>
  <c r="J39" i="64"/>
  <c r="H39" i="64"/>
  <c r="N39" i="64" s="1"/>
  <c r="D39" i="64"/>
  <c r="L39" i="64" s="1"/>
  <c r="B39" i="64"/>
  <c r="Z38" i="64"/>
  <c r="X38" i="64"/>
  <c r="R38" i="64"/>
  <c r="N38" i="64"/>
  <c r="L38" i="64"/>
  <c r="J38" i="64"/>
  <c r="B38" i="64"/>
  <c r="T37" i="64"/>
  <c r="P37" i="64"/>
  <c r="X37" i="64" s="1"/>
  <c r="L37" i="64"/>
  <c r="N37" i="64" s="1"/>
  <c r="H37" i="64"/>
  <c r="D37" i="64"/>
  <c r="B37" i="64"/>
  <c r="Z36" i="64"/>
  <c r="X36" i="64"/>
  <c r="N36" i="64"/>
  <c r="L36" i="64"/>
  <c r="B36" i="64"/>
  <c r="Z35" i="64"/>
  <c r="X35" i="64"/>
  <c r="T35" i="64"/>
  <c r="R35" i="64"/>
  <c r="P35" i="64"/>
  <c r="L35" i="64"/>
  <c r="H35" i="64"/>
  <c r="N35" i="64" s="1"/>
  <c r="D35" i="64"/>
  <c r="B35" i="64"/>
  <c r="Z34" i="64"/>
  <c r="X34" i="64"/>
  <c r="N34" i="64"/>
  <c r="L34" i="64"/>
  <c r="B34" i="64"/>
  <c r="X33" i="64"/>
  <c r="T33" i="64"/>
  <c r="Z33" i="64" s="1"/>
  <c r="P33" i="64"/>
  <c r="N33" i="64"/>
  <c r="H33" i="64"/>
  <c r="D33" i="64"/>
  <c r="L33" i="64" s="1"/>
  <c r="B33" i="64"/>
  <c r="Z32" i="64"/>
  <c r="X32" i="64"/>
  <c r="N32" i="64"/>
  <c r="L32" i="64"/>
  <c r="B32" i="64"/>
  <c r="T31" i="64"/>
  <c r="Z31" i="64" s="1"/>
  <c r="P31" i="64"/>
  <c r="J31" i="64"/>
  <c r="H31" i="64"/>
  <c r="N31" i="64" s="1"/>
  <c r="D31" i="64"/>
  <c r="L31" i="64" s="1"/>
  <c r="B31" i="64"/>
  <c r="Z30" i="64"/>
  <c r="X30" i="64"/>
  <c r="R30" i="64"/>
  <c r="N30" i="64"/>
  <c r="L30" i="64"/>
  <c r="J30" i="64"/>
  <c r="B30" i="64"/>
  <c r="Z29" i="64"/>
  <c r="X29" i="64"/>
  <c r="N29" i="64"/>
  <c r="L29" i="64"/>
  <c r="B29" i="64"/>
  <c r="Z28" i="64"/>
  <c r="X28" i="64"/>
  <c r="T28" i="64"/>
  <c r="R28" i="64"/>
  <c r="P28" i="64"/>
  <c r="H28" i="64"/>
  <c r="N28" i="64" s="1"/>
  <c r="D28" i="64"/>
  <c r="B28" i="64"/>
  <c r="Z27" i="64"/>
  <c r="X27" i="64"/>
  <c r="N27" i="64"/>
  <c r="L27" i="64"/>
  <c r="B27" i="64"/>
  <c r="Z26" i="64"/>
  <c r="X26" i="64"/>
  <c r="R26" i="64"/>
  <c r="N26" i="64"/>
  <c r="L26" i="64"/>
  <c r="J26" i="64"/>
  <c r="B26" i="64"/>
  <c r="T25" i="64"/>
  <c r="Z25" i="64" s="1"/>
  <c r="P25" i="64"/>
  <c r="X25" i="64" s="1"/>
  <c r="N25" i="64"/>
  <c r="L25" i="64"/>
  <c r="H25" i="64"/>
  <c r="D25" i="64"/>
  <c r="B25" i="64"/>
  <c r="T24" i="64" a="1"/>
  <c r="T24" i="64"/>
  <c r="R24" i="64"/>
  <c r="P24" i="64" a="1"/>
  <c r="P24" i="64" s="1"/>
  <c r="X24" i="64" s="1"/>
  <c r="Z24" i="64" s="1"/>
  <c r="H24" i="64" a="1"/>
  <c r="H24" i="64" s="1"/>
  <c r="D24" i="64" a="1"/>
  <c r="D24" i="64" s="1"/>
  <c r="L24" i="64" s="1"/>
  <c r="N24" i="64" s="1"/>
  <c r="P22" i="64"/>
  <c r="J22" i="64"/>
  <c r="Z20" i="64"/>
  <c r="X20" i="64"/>
  <c r="N20" i="64"/>
  <c r="L20" i="64"/>
  <c r="B20" i="64"/>
  <c r="Z19" i="64"/>
  <c r="X19" i="64"/>
  <c r="R19" i="64"/>
  <c r="N19" i="64"/>
  <c r="L19" i="64"/>
  <c r="B19" i="64"/>
  <c r="Z18" i="64"/>
  <c r="T18" i="64"/>
  <c r="P18" i="64"/>
  <c r="X18" i="64" s="1"/>
  <c r="N18" i="64"/>
  <c r="L18" i="64"/>
  <c r="J18" i="64"/>
  <c r="H18" i="64"/>
  <c r="D18" i="64"/>
  <c r="Z16" i="64"/>
  <c r="P16" i="64"/>
  <c r="X16" i="64" s="1"/>
  <c r="N16" i="64"/>
  <c r="L16" i="64"/>
  <c r="D16" i="64"/>
  <c r="B16" i="64"/>
  <c r="Z15" i="64"/>
  <c r="X15" i="64"/>
  <c r="P15" i="64"/>
  <c r="N15" i="64"/>
  <c r="L15" i="64"/>
  <c r="D15" i="64"/>
  <c r="B15" i="64"/>
  <c r="Z14" i="64"/>
  <c r="X14" i="64"/>
  <c r="P14" i="64"/>
  <c r="N14" i="64"/>
  <c r="D14" i="64"/>
  <c r="B14" i="64"/>
  <c r="Z13" i="64"/>
  <c r="X13" i="64"/>
  <c r="P13" i="64"/>
  <c r="N13" i="64"/>
  <c r="D13" i="64"/>
  <c r="L13" i="64" s="1"/>
  <c r="B13" i="64"/>
  <c r="T12" i="64"/>
  <c r="P12" i="64"/>
  <c r="N12" i="64"/>
  <c r="H12" i="64"/>
  <c r="J63" i="64" s="1"/>
  <c r="D6" i="64"/>
  <c r="D4" i="64"/>
  <c r="Z89" i="63"/>
  <c r="X89" i="63"/>
  <c r="L89" i="63"/>
  <c r="N89" i="63" s="1"/>
  <c r="Z85" i="63"/>
  <c r="X85" i="63"/>
  <c r="T85" i="63"/>
  <c r="P85" i="63"/>
  <c r="H85" i="63"/>
  <c r="D85" i="63"/>
  <c r="Z83" i="63"/>
  <c r="X83" i="63"/>
  <c r="L83" i="63"/>
  <c r="N83" i="63" s="1"/>
  <c r="B83" i="63"/>
  <c r="T82" i="63"/>
  <c r="P82" i="63"/>
  <c r="X82" i="63" s="1"/>
  <c r="Z82" i="63" s="1"/>
  <c r="L82" i="63"/>
  <c r="H82" i="63"/>
  <c r="D82" i="63"/>
  <c r="B82" i="63"/>
  <c r="Z81" i="63"/>
  <c r="X81" i="63"/>
  <c r="N81" i="63"/>
  <c r="L81" i="63"/>
  <c r="B81" i="63"/>
  <c r="X80" i="63"/>
  <c r="Z80" i="63" s="1"/>
  <c r="L80" i="63"/>
  <c r="N80" i="63" s="1"/>
  <c r="B80" i="63"/>
  <c r="Z79" i="63"/>
  <c r="X79" i="63"/>
  <c r="L79" i="63"/>
  <c r="N79" i="63" s="1"/>
  <c r="B79" i="63"/>
  <c r="Z78" i="63"/>
  <c r="X78" i="63"/>
  <c r="N78" i="63"/>
  <c r="L78" i="63"/>
  <c r="B78" i="63"/>
  <c r="T77" i="63"/>
  <c r="P77" i="63"/>
  <c r="H77" i="63"/>
  <c r="D77" i="63"/>
  <c r="L77" i="63" s="1"/>
  <c r="N77" i="63" s="1"/>
  <c r="B77" i="63"/>
  <c r="Z76" i="63"/>
  <c r="X76" i="63"/>
  <c r="N76" i="63"/>
  <c r="L76" i="63"/>
  <c r="B76" i="63"/>
  <c r="Z75" i="63"/>
  <c r="T75" i="63"/>
  <c r="P75" i="63"/>
  <c r="X75" i="63" s="1"/>
  <c r="N75" i="63"/>
  <c r="H75" i="63"/>
  <c r="L75" i="63" s="1"/>
  <c r="D75" i="63"/>
  <c r="B75" i="63"/>
  <c r="Z74" i="63"/>
  <c r="X74" i="63"/>
  <c r="N74" i="63"/>
  <c r="L74" i="63"/>
  <c r="B74" i="63"/>
  <c r="Z73" i="63"/>
  <c r="X73" i="63"/>
  <c r="N73" i="63"/>
  <c r="L73" i="63"/>
  <c r="B73" i="63"/>
  <c r="Z72" i="63"/>
  <c r="X72" i="63"/>
  <c r="T72" i="63"/>
  <c r="P72" i="63"/>
  <c r="H72" i="63"/>
  <c r="D72" i="63"/>
  <c r="B72" i="63"/>
  <c r="Z71" i="63"/>
  <c r="X71" i="63"/>
  <c r="N71" i="63"/>
  <c r="L71" i="63"/>
  <c r="B71" i="63"/>
  <c r="Z70" i="63"/>
  <c r="X70" i="63"/>
  <c r="N70" i="63"/>
  <c r="L70" i="63"/>
  <c r="B70" i="63"/>
  <c r="Z69" i="63"/>
  <c r="T69" i="63"/>
  <c r="P69" i="63"/>
  <c r="X69" i="63" s="1"/>
  <c r="N69" i="63"/>
  <c r="L69" i="63"/>
  <c r="H69" i="63"/>
  <c r="D69" i="63"/>
  <c r="B69" i="63"/>
  <c r="X68" i="63"/>
  <c r="Z68" i="63" s="1"/>
  <c r="L68" i="63"/>
  <c r="N68" i="63" s="1"/>
  <c r="B68" i="63"/>
  <c r="X67" i="63"/>
  <c r="Z67" i="63" s="1"/>
  <c r="T67" i="63"/>
  <c r="P67" i="63"/>
  <c r="H67" i="63"/>
  <c r="D67" i="63"/>
  <c r="B67" i="63"/>
  <c r="Z66" i="63"/>
  <c r="X66" i="63"/>
  <c r="N66" i="63"/>
  <c r="L66" i="63"/>
  <c r="B66" i="63"/>
  <c r="T65" i="63"/>
  <c r="Z65" i="63" s="1"/>
  <c r="P65" i="63"/>
  <c r="X65" i="63" s="1"/>
  <c r="N65" i="63"/>
  <c r="H65" i="63"/>
  <c r="D65" i="63"/>
  <c r="L65" i="63" s="1"/>
  <c r="B65" i="63"/>
  <c r="Z64" i="63"/>
  <c r="X64" i="63"/>
  <c r="N64" i="63"/>
  <c r="L64" i="63"/>
  <c r="B64" i="63"/>
  <c r="Z63" i="63"/>
  <c r="T63" i="63"/>
  <c r="P63" i="63"/>
  <c r="X63" i="63" s="1"/>
  <c r="N63" i="63"/>
  <c r="H63" i="63"/>
  <c r="D63" i="63"/>
  <c r="L63" i="63" s="1"/>
  <c r="B63" i="63"/>
  <c r="Z62" i="63"/>
  <c r="X62" i="63"/>
  <c r="N62" i="63"/>
  <c r="L62" i="63"/>
  <c r="B62" i="63"/>
  <c r="Z61" i="63"/>
  <c r="X61" i="63"/>
  <c r="N61" i="63"/>
  <c r="L61" i="63"/>
  <c r="B61" i="63"/>
  <c r="Z60" i="63"/>
  <c r="X60" i="63"/>
  <c r="T60" i="63"/>
  <c r="P60" i="63"/>
  <c r="N60" i="63"/>
  <c r="H60" i="63"/>
  <c r="L60" i="63" s="1"/>
  <c r="D60" i="63"/>
  <c r="B60" i="63"/>
  <c r="X59" i="63"/>
  <c r="Z59" i="63" s="1"/>
  <c r="N59" i="63"/>
  <c r="L59" i="63"/>
  <c r="B59" i="63"/>
  <c r="Z58" i="63"/>
  <c r="T58" i="63"/>
  <c r="X58" i="63" s="1"/>
  <c r="P58" i="63"/>
  <c r="H58" i="63"/>
  <c r="N58" i="63" s="1"/>
  <c r="D58" i="63"/>
  <c r="L58" i="63" s="1"/>
  <c r="B58" i="63"/>
  <c r="X57" i="63"/>
  <c r="Z57" i="63" s="1"/>
  <c r="N57" i="63"/>
  <c r="L57" i="63"/>
  <c r="B57" i="63"/>
  <c r="T56" i="63"/>
  <c r="P56" i="63"/>
  <c r="X56" i="63" s="1"/>
  <c r="H56" i="63"/>
  <c r="D56" i="63"/>
  <c r="L56" i="63" s="1"/>
  <c r="B56" i="63"/>
  <c r="Z55" i="63"/>
  <c r="X55" i="63"/>
  <c r="L55" i="63"/>
  <c r="N55" i="63" s="1"/>
  <c r="B55" i="63"/>
  <c r="T54" i="63"/>
  <c r="P54" i="63"/>
  <c r="X54" i="63" s="1"/>
  <c r="L54" i="63"/>
  <c r="H54" i="63"/>
  <c r="N54" i="63" s="1"/>
  <c r="D54" i="63"/>
  <c r="B54" i="63"/>
  <c r="Z53" i="63"/>
  <c r="X53" i="63"/>
  <c r="N53" i="63"/>
  <c r="L53" i="63"/>
  <c r="B53" i="63"/>
  <c r="Z52" i="63"/>
  <c r="X52" i="63"/>
  <c r="N52" i="63"/>
  <c r="L52" i="63"/>
  <c r="J52" i="63"/>
  <c r="B52" i="63"/>
  <c r="Z51" i="63"/>
  <c r="X51" i="63"/>
  <c r="L51" i="63"/>
  <c r="N51" i="63" s="1"/>
  <c r="B51" i="63"/>
  <c r="X50" i="63"/>
  <c r="Z50" i="63" s="1"/>
  <c r="N50" i="63"/>
  <c r="L50" i="63"/>
  <c r="B50" i="63"/>
  <c r="Z49" i="63"/>
  <c r="X49" i="63"/>
  <c r="N49" i="63"/>
  <c r="L49" i="63"/>
  <c r="J49" i="63"/>
  <c r="B49" i="63"/>
  <c r="Z48" i="63"/>
  <c r="X48" i="63"/>
  <c r="N48" i="63"/>
  <c r="L48" i="63"/>
  <c r="B48" i="63"/>
  <c r="X47" i="63"/>
  <c r="Z47" i="63" s="1"/>
  <c r="N47" i="63"/>
  <c r="L47" i="63"/>
  <c r="B47" i="63"/>
  <c r="Z46" i="63"/>
  <c r="X46" i="63"/>
  <c r="N46" i="63"/>
  <c r="L46" i="63"/>
  <c r="B46" i="63"/>
  <c r="Z45" i="63"/>
  <c r="X45" i="63"/>
  <c r="N45" i="63"/>
  <c r="L45" i="63"/>
  <c r="B45" i="63"/>
  <c r="Z44" i="63"/>
  <c r="X44" i="63"/>
  <c r="N44" i="63"/>
  <c r="L44" i="63"/>
  <c r="J44" i="63"/>
  <c r="B44" i="63"/>
  <c r="T43" i="63"/>
  <c r="P43" i="63"/>
  <c r="X43" i="63" s="1"/>
  <c r="Z43" i="63" s="1"/>
  <c r="H43" i="63"/>
  <c r="D43" i="63"/>
  <c r="L43" i="63" s="1"/>
  <c r="N43" i="63" s="1"/>
  <c r="B43" i="63"/>
  <c r="Z42" i="63"/>
  <c r="X42" i="63"/>
  <c r="N42" i="63"/>
  <c r="L42" i="63"/>
  <c r="B42" i="63"/>
  <c r="Z41" i="63"/>
  <c r="X41" i="63"/>
  <c r="L41" i="63"/>
  <c r="N41" i="63" s="1"/>
  <c r="B41" i="63"/>
  <c r="Z40" i="63"/>
  <c r="X40" i="63"/>
  <c r="N40" i="63"/>
  <c r="L40" i="63"/>
  <c r="B40" i="63"/>
  <c r="Z39" i="63"/>
  <c r="X39" i="63"/>
  <c r="N39" i="63"/>
  <c r="L39" i="63"/>
  <c r="B39" i="63"/>
  <c r="Z38" i="63"/>
  <c r="X38" i="63"/>
  <c r="N38" i="63"/>
  <c r="L38" i="63"/>
  <c r="B38" i="63"/>
  <c r="X37" i="63"/>
  <c r="Z37" i="63" s="1"/>
  <c r="N37" i="63"/>
  <c r="L37" i="63"/>
  <c r="B37" i="63"/>
  <c r="Z36" i="63"/>
  <c r="X36" i="63"/>
  <c r="N36" i="63"/>
  <c r="L36" i="63"/>
  <c r="B36" i="63"/>
  <c r="X35" i="63"/>
  <c r="Z35" i="63" s="1"/>
  <c r="N35" i="63"/>
  <c r="L35" i="63"/>
  <c r="B35" i="63"/>
  <c r="Z34" i="63"/>
  <c r="X34" i="63"/>
  <c r="N34" i="63"/>
  <c r="L34" i="63"/>
  <c r="B34" i="63"/>
  <c r="T33" i="63"/>
  <c r="Z33" i="63" s="1"/>
  <c r="P33" i="63"/>
  <c r="X33" i="63" s="1"/>
  <c r="L33" i="63"/>
  <c r="N33" i="63" s="1"/>
  <c r="H33" i="63"/>
  <c r="D33" i="63"/>
  <c r="B33" i="63"/>
  <c r="T32" i="63" a="1"/>
  <c r="T32" i="63" s="1"/>
  <c r="P32" i="63" a="1"/>
  <c r="P32" i="63" s="1"/>
  <c r="X32" i="63" s="1"/>
  <c r="H32" i="63" a="1"/>
  <c r="H32" i="63" s="1"/>
  <c r="D32" i="63" a="1"/>
  <c r="D32" i="63" s="1"/>
  <c r="H30" i="63"/>
  <c r="Z28" i="63"/>
  <c r="X28" i="63"/>
  <c r="N28" i="63"/>
  <c r="L28" i="63"/>
  <c r="J28" i="63"/>
  <c r="B28" i="63"/>
  <c r="Z27" i="63"/>
  <c r="X27" i="63"/>
  <c r="N27" i="63"/>
  <c r="L27" i="63"/>
  <c r="B27" i="63"/>
  <c r="Z26" i="63"/>
  <c r="X26" i="63"/>
  <c r="N26" i="63"/>
  <c r="L26" i="63"/>
  <c r="B26" i="63"/>
  <c r="Z25" i="63"/>
  <c r="X25" i="63"/>
  <c r="N25" i="63"/>
  <c r="L25" i="63"/>
  <c r="B25" i="63"/>
  <c r="Z24" i="63"/>
  <c r="X24" i="63"/>
  <c r="N24" i="63"/>
  <c r="L24" i="63"/>
  <c r="B24" i="63"/>
  <c r="Z23" i="63"/>
  <c r="X23" i="63"/>
  <c r="N23" i="63"/>
  <c r="L23" i="63"/>
  <c r="J23" i="63"/>
  <c r="B23" i="63"/>
  <c r="Z22" i="63"/>
  <c r="X22" i="63"/>
  <c r="N22" i="63"/>
  <c r="L22" i="63"/>
  <c r="B22" i="63"/>
  <c r="Z21" i="63"/>
  <c r="X21" i="63"/>
  <c r="N21" i="63"/>
  <c r="L21" i="63"/>
  <c r="B21" i="63"/>
  <c r="Z20" i="63"/>
  <c r="X20" i="63"/>
  <c r="N20" i="63"/>
  <c r="L20" i="63"/>
  <c r="J20" i="63"/>
  <c r="B20" i="63"/>
  <c r="Z19" i="63"/>
  <c r="X19" i="63"/>
  <c r="L19" i="63"/>
  <c r="N19" i="63" s="1"/>
  <c r="B19" i="63"/>
  <c r="X18" i="63"/>
  <c r="T18" i="63"/>
  <c r="P18" i="63"/>
  <c r="H18" i="63"/>
  <c r="D18" i="63"/>
  <c r="Z16" i="63"/>
  <c r="P16" i="63"/>
  <c r="X16" i="63" s="1"/>
  <c r="N16" i="63"/>
  <c r="D16" i="63"/>
  <c r="L16" i="63" s="1"/>
  <c r="B16" i="63"/>
  <c r="Z15" i="63"/>
  <c r="X15" i="63"/>
  <c r="P15" i="63"/>
  <c r="N15" i="63"/>
  <c r="L15" i="63"/>
  <c r="D15" i="63"/>
  <c r="B15" i="63"/>
  <c r="P14" i="63"/>
  <c r="L14" i="63"/>
  <c r="N14" i="63" s="1"/>
  <c r="D14" i="63"/>
  <c r="B14" i="63"/>
  <c r="Z13" i="63"/>
  <c r="X13" i="63"/>
  <c r="P13" i="63"/>
  <c r="D13" i="63"/>
  <c r="L13" i="63" s="1"/>
  <c r="N13" i="63" s="1"/>
  <c r="B13" i="63"/>
  <c r="T12" i="63"/>
  <c r="H12" i="63"/>
  <c r="J64" i="63" s="1"/>
  <c r="D6" i="63"/>
  <c r="D4" i="63"/>
  <c r="J109" i="62"/>
  <c r="F109" i="62"/>
  <c r="R106" i="62"/>
  <c r="Z104" i="62"/>
  <c r="X104" i="62"/>
  <c r="N104" i="62"/>
  <c r="L104" i="62"/>
  <c r="V102" i="62"/>
  <c r="J102" i="62"/>
  <c r="R100" i="62"/>
  <c r="P100" i="62"/>
  <c r="X100" i="62" s="1"/>
  <c r="Z100" i="62" s="1"/>
  <c r="L100" i="62"/>
  <c r="N100" i="62" s="1"/>
  <c r="D100" i="62"/>
  <c r="B100" i="62"/>
  <c r="Z99" i="62"/>
  <c r="X99" i="62"/>
  <c r="R99" i="62"/>
  <c r="P99" i="62"/>
  <c r="D99" i="62"/>
  <c r="B99" i="62"/>
  <c r="T98" i="62"/>
  <c r="J98" i="62"/>
  <c r="H98" i="62"/>
  <c r="X96" i="62"/>
  <c r="Z96" i="62" s="1"/>
  <c r="N96" i="62"/>
  <c r="L96" i="62"/>
  <c r="B96" i="62"/>
  <c r="X95" i="62"/>
  <c r="Z95" i="62" s="1"/>
  <c r="T95" i="62"/>
  <c r="P95" i="62"/>
  <c r="J95" i="62"/>
  <c r="H95" i="62"/>
  <c r="D95" i="62"/>
  <c r="B95" i="62"/>
  <c r="Z94" i="62"/>
  <c r="X94" i="62"/>
  <c r="R94" i="62"/>
  <c r="N94" i="62"/>
  <c r="L94" i="62"/>
  <c r="J94" i="62"/>
  <c r="B94" i="62"/>
  <c r="Z93" i="62"/>
  <c r="X93" i="62"/>
  <c r="V93" i="62"/>
  <c r="R93" i="62"/>
  <c r="N93" i="62"/>
  <c r="L93" i="62"/>
  <c r="B93" i="62"/>
  <c r="X92" i="62"/>
  <c r="Z92" i="62" s="1"/>
  <c r="N92" i="62"/>
  <c r="L92" i="62"/>
  <c r="B92" i="62"/>
  <c r="T91" i="62"/>
  <c r="P91" i="62"/>
  <c r="J91" i="62"/>
  <c r="H91" i="62"/>
  <c r="D91" i="62"/>
  <c r="L91" i="62" s="1"/>
  <c r="B91" i="62"/>
  <c r="Z90" i="62"/>
  <c r="X90" i="62"/>
  <c r="R90" i="62"/>
  <c r="N90" i="62"/>
  <c r="L90" i="62"/>
  <c r="J90" i="62"/>
  <c r="B90" i="62"/>
  <c r="T89" i="62"/>
  <c r="P89" i="62"/>
  <c r="N89" i="62"/>
  <c r="H89" i="62"/>
  <c r="D89" i="62"/>
  <c r="L89" i="62" s="1"/>
  <c r="B89" i="62"/>
  <c r="Z88" i="62"/>
  <c r="X88" i="62"/>
  <c r="L88" i="62"/>
  <c r="N88" i="62" s="1"/>
  <c r="J88" i="62"/>
  <c r="B88" i="62"/>
  <c r="T87" i="62"/>
  <c r="R87" i="62"/>
  <c r="P87" i="62"/>
  <c r="X87" i="62" s="1"/>
  <c r="Z87" i="62" s="1"/>
  <c r="L87" i="62"/>
  <c r="H87" i="62"/>
  <c r="D87" i="62"/>
  <c r="B87" i="62"/>
  <c r="Z86" i="62"/>
  <c r="X86" i="62"/>
  <c r="N86" i="62"/>
  <c r="L86" i="62"/>
  <c r="B86" i="62"/>
  <c r="Z85" i="62"/>
  <c r="X85" i="62"/>
  <c r="N85" i="62"/>
  <c r="L85" i="62"/>
  <c r="J85" i="62"/>
  <c r="B85" i="62"/>
  <c r="Z84" i="62"/>
  <c r="X84" i="62"/>
  <c r="L84" i="62"/>
  <c r="N84" i="62" s="1"/>
  <c r="J84" i="62"/>
  <c r="B84" i="62"/>
  <c r="Z83" i="62"/>
  <c r="X83" i="62"/>
  <c r="N83" i="62"/>
  <c r="L83" i="62"/>
  <c r="F83" i="62"/>
  <c r="B83" i="62"/>
  <c r="Z82" i="62"/>
  <c r="X82" i="62"/>
  <c r="R82" i="62"/>
  <c r="N82" i="62"/>
  <c r="L82" i="62"/>
  <c r="J82" i="62"/>
  <c r="B82" i="62"/>
  <c r="Z81" i="62"/>
  <c r="X81" i="62"/>
  <c r="R81" i="62"/>
  <c r="L81" i="62"/>
  <c r="N81" i="62" s="1"/>
  <c r="B81" i="62"/>
  <c r="X80" i="62"/>
  <c r="Z80" i="62" s="1"/>
  <c r="V80" i="62"/>
  <c r="T80" i="62"/>
  <c r="R80" i="62"/>
  <c r="P80" i="62"/>
  <c r="H80" i="62"/>
  <c r="D80" i="62"/>
  <c r="B80" i="62"/>
  <c r="X79" i="62"/>
  <c r="Z79" i="62" s="1"/>
  <c r="N79" i="62"/>
  <c r="L79" i="62"/>
  <c r="B79" i="62"/>
  <c r="T78" i="62"/>
  <c r="R78" i="62"/>
  <c r="P78" i="62"/>
  <c r="N78" i="62"/>
  <c r="H78" i="62"/>
  <c r="D78" i="62"/>
  <c r="L78" i="62" s="1"/>
  <c r="B78" i="62"/>
  <c r="Z77" i="62"/>
  <c r="X77" i="62"/>
  <c r="N77" i="62"/>
  <c r="L77" i="62"/>
  <c r="J77" i="62"/>
  <c r="B77" i="62"/>
  <c r="Z76" i="62"/>
  <c r="X76" i="62"/>
  <c r="L76" i="62"/>
  <c r="N76" i="62" s="1"/>
  <c r="J76" i="62"/>
  <c r="B76" i="62"/>
  <c r="T75" i="62"/>
  <c r="R75" i="62"/>
  <c r="P75" i="62"/>
  <c r="X75" i="62" s="1"/>
  <c r="Z75" i="62" s="1"/>
  <c r="L75" i="62"/>
  <c r="H75" i="62"/>
  <c r="N75" i="62" s="1"/>
  <c r="D75" i="62"/>
  <c r="B75" i="62"/>
  <c r="Z74" i="62"/>
  <c r="X74" i="62"/>
  <c r="N74" i="62"/>
  <c r="L74" i="62"/>
  <c r="F74" i="62"/>
  <c r="B74" i="62"/>
  <c r="X73" i="62"/>
  <c r="Z73" i="62" s="1"/>
  <c r="N73" i="62"/>
  <c r="L73" i="62"/>
  <c r="J73" i="62"/>
  <c r="B73" i="62"/>
  <c r="Z72" i="62"/>
  <c r="X72" i="62"/>
  <c r="L72" i="62"/>
  <c r="N72" i="62" s="1"/>
  <c r="J72" i="62"/>
  <c r="B72" i="62"/>
  <c r="X71" i="62"/>
  <c r="Z71" i="62" s="1"/>
  <c r="L71" i="62"/>
  <c r="N71" i="62" s="1"/>
  <c r="F71" i="62"/>
  <c r="B71" i="62"/>
  <c r="T70" i="62"/>
  <c r="R70" i="62"/>
  <c r="P70" i="62"/>
  <c r="H70" i="62"/>
  <c r="D70" i="62"/>
  <c r="L70" i="62" s="1"/>
  <c r="N70" i="62" s="1"/>
  <c r="B70" i="62"/>
  <c r="X69" i="62"/>
  <c r="Z69" i="62" s="1"/>
  <c r="N69" i="62"/>
  <c r="L69" i="62"/>
  <c r="J69" i="62"/>
  <c r="B69" i="62"/>
  <c r="Z68" i="62"/>
  <c r="T68" i="62"/>
  <c r="P68" i="62"/>
  <c r="X68" i="62" s="1"/>
  <c r="N68" i="62"/>
  <c r="J68" i="62"/>
  <c r="H68" i="62"/>
  <c r="D68" i="62"/>
  <c r="L68" i="62" s="1"/>
  <c r="B68" i="62"/>
  <c r="Z67" i="62"/>
  <c r="X67" i="62"/>
  <c r="R67" i="62"/>
  <c r="N67" i="62"/>
  <c r="L67" i="62"/>
  <c r="B67" i="62"/>
  <c r="Z66" i="62"/>
  <c r="T66" i="62"/>
  <c r="P66" i="62"/>
  <c r="X66" i="62" s="1"/>
  <c r="L66" i="62"/>
  <c r="J66" i="62"/>
  <c r="H66" i="62"/>
  <c r="N66" i="62" s="1"/>
  <c r="F66" i="62"/>
  <c r="D66" i="62"/>
  <c r="B66" i="62"/>
  <c r="Z65" i="62"/>
  <c r="X65" i="62"/>
  <c r="R65" i="62"/>
  <c r="L65" i="62"/>
  <c r="N65" i="62" s="1"/>
  <c r="B65" i="62"/>
  <c r="X64" i="62"/>
  <c r="T64" i="62"/>
  <c r="Z64" i="62" s="1"/>
  <c r="R64" i="62"/>
  <c r="P64" i="62"/>
  <c r="H64" i="62"/>
  <c r="D64" i="62"/>
  <c r="B64" i="62"/>
  <c r="X63" i="62"/>
  <c r="Z63" i="62" s="1"/>
  <c r="L63" i="62"/>
  <c r="N63" i="62" s="1"/>
  <c r="B63" i="62"/>
  <c r="T62" i="62"/>
  <c r="R62" i="62"/>
  <c r="P62" i="62"/>
  <c r="H62" i="62"/>
  <c r="D62" i="62"/>
  <c r="L62" i="62" s="1"/>
  <c r="N62" i="62" s="1"/>
  <c r="B62" i="62"/>
  <c r="X61" i="62"/>
  <c r="Z61" i="62" s="1"/>
  <c r="N61" i="62"/>
  <c r="L61" i="62"/>
  <c r="J61" i="62"/>
  <c r="B61" i="62"/>
  <c r="Z60" i="62"/>
  <c r="T60" i="62"/>
  <c r="P60" i="62"/>
  <c r="X60" i="62" s="1"/>
  <c r="N60" i="62"/>
  <c r="J60" i="62"/>
  <c r="H60" i="62"/>
  <c r="D60" i="62"/>
  <c r="L60" i="62" s="1"/>
  <c r="B60" i="62"/>
  <c r="Z59" i="62"/>
  <c r="X59" i="62"/>
  <c r="R59" i="62"/>
  <c r="L59" i="62"/>
  <c r="N59" i="62" s="1"/>
  <c r="B59" i="62"/>
  <c r="T58" i="62"/>
  <c r="P58" i="62"/>
  <c r="X58" i="62" s="1"/>
  <c r="Z58" i="62" s="1"/>
  <c r="L58" i="62"/>
  <c r="J58" i="62"/>
  <c r="H58" i="62"/>
  <c r="F58" i="62"/>
  <c r="D58" i="62"/>
  <c r="B58" i="62"/>
  <c r="Z57" i="62"/>
  <c r="X57" i="62"/>
  <c r="R57" i="62"/>
  <c r="L57" i="62"/>
  <c r="N57" i="62" s="1"/>
  <c r="B57" i="62"/>
  <c r="X56" i="62"/>
  <c r="T56" i="62"/>
  <c r="Z56" i="62" s="1"/>
  <c r="R56" i="62"/>
  <c r="P56" i="62"/>
  <c r="H56" i="62"/>
  <c r="D56" i="62"/>
  <c r="B56" i="62"/>
  <c r="X55" i="62"/>
  <c r="Z55" i="62" s="1"/>
  <c r="L55" i="62"/>
  <c r="N55" i="62" s="1"/>
  <c r="B55" i="62"/>
  <c r="T54" i="62"/>
  <c r="R54" i="62"/>
  <c r="P54" i="62"/>
  <c r="H54" i="62"/>
  <c r="D54" i="62"/>
  <c r="L54" i="62" s="1"/>
  <c r="N54" i="62" s="1"/>
  <c r="B54" i="62"/>
  <c r="Z53" i="62"/>
  <c r="X53" i="62"/>
  <c r="N53" i="62"/>
  <c r="L53" i="62"/>
  <c r="J53" i="62"/>
  <c r="B53" i="62"/>
  <c r="Z52" i="62"/>
  <c r="X52" i="62"/>
  <c r="N52" i="62"/>
  <c r="L52" i="62"/>
  <c r="J52" i="62"/>
  <c r="B52" i="62"/>
  <c r="Z51" i="62"/>
  <c r="T51" i="62"/>
  <c r="R51" i="62"/>
  <c r="P51" i="62"/>
  <c r="X51" i="62" s="1"/>
  <c r="L51" i="62"/>
  <c r="H51" i="62"/>
  <c r="N51" i="62" s="1"/>
  <c r="D51" i="62"/>
  <c r="B51" i="62"/>
  <c r="Z50" i="62"/>
  <c r="X50" i="62"/>
  <c r="N50" i="62"/>
  <c r="L50" i="62"/>
  <c r="F50" i="62"/>
  <c r="B50" i="62"/>
  <c r="Z49" i="62"/>
  <c r="X49" i="62"/>
  <c r="N49" i="62"/>
  <c r="L49" i="62"/>
  <c r="J49" i="62"/>
  <c r="B49" i="62"/>
  <c r="T48" i="62"/>
  <c r="P48" i="62"/>
  <c r="X48" i="62" s="1"/>
  <c r="Z48" i="62" s="1"/>
  <c r="N48" i="62"/>
  <c r="J48" i="62"/>
  <c r="H48" i="62"/>
  <c r="D48" i="62"/>
  <c r="L48" i="62" s="1"/>
  <c r="B48" i="62"/>
  <c r="Z47" i="62"/>
  <c r="X47" i="62"/>
  <c r="R47" i="62"/>
  <c r="N47" i="62"/>
  <c r="L47" i="62"/>
  <c r="B47" i="62"/>
  <c r="Z46" i="62"/>
  <c r="V46" i="62"/>
  <c r="T46" i="62"/>
  <c r="P46" i="62"/>
  <c r="X46" i="62" s="1"/>
  <c r="L46" i="62"/>
  <c r="J46" i="62"/>
  <c r="H46" i="62"/>
  <c r="D46" i="62"/>
  <c r="B46" i="62"/>
  <c r="Z45" i="62"/>
  <c r="X45" i="62"/>
  <c r="R45" i="62"/>
  <c r="L45" i="62"/>
  <c r="N45" i="62" s="1"/>
  <c r="B45" i="62"/>
  <c r="X44" i="62"/>
  <c r="V44" i="62"/>
  <c r="T44" i="62"/>
  <c r="Z44" i="62" s="1"/>
  <c r="R44" i="62"/>
  <c r="P44" i="62"/>
  <c r="H44" i="62"/>
  <c r="D44" i="62"/>
  <c r="B44" i="62"/>
  <c r="Z43" i="62"/>
  <c r="X43" i="62"/>
  <c r="N43" i="62"/>
  <c r="L43" i="62"/>
  <c r="F43" i="62"/>
  <c r="B43" i="62"/>
  <c r="T42" i="62"/>
  <c r="R42" i="62"/>
  <c r="P42" i="62"/>
  <c r="N42" i="62"/>
  <c r="H42" i="62"/>
  <c r="D42" i="62"/>
  <c r="L42" i="62" s="1"/>
  <c r="B42" i="62"/>
  <c r="Z41" i="62"/>
  <c r="X41" i="62"/>
  <c r="N41" i="62"/>
  <c r="L41" i="62"/>
  <c r="J41" i="62"/>
  <c r="B41" i="62"/>
  <c r="Z40" i="62"/>
  <c r="X40" i="62"/>
  <c r="N40" i="62"/>
  <c r="L40" i="62"/>
  <c r="J40" i="62"/>
  <c r="B40" i="62"/>
  <c r="Z39" i="62"/>
  <c r="X39" i="62"/>
  <c r="N39" i="62"/>
  <c r="L39" i="62"/>
  <c r="B39" i="62"/>
  <c r="Z38" i="62"/>
  <c r="X38" i="62"/>
  <c r="R38" i="62"/>
  <c r="N38" i="62"/>
  <c r="L38" i="62"/>
  <c r="J38" i="62"/>
  <c r="B38" i="62"/>
  <c r="Z37" i="62"/>
  <c r="X37" i="62"/>
  <c r="R37" i="62"/>
  <c r="N37" i="62"/>
  <c r="L37" i="62"/>
  <c r="B37" i="62"/>
  <c r="Z36" i="62"/>
  <c r="X36" i="62"/>
  <c r="V36" i="62"/>
  <c r="N36" i="62"/>
  <c r="L36" i="62"/>
  <c r="B36" i="62"/>
  <c r="Z35" i="62"/>
  <c r="X35" i="62"/>
  <c r="R35" i="62"/>
  <c r="N35" i="62"/>
  <c r="L35" i="62"/>
  <c r="B35" i="62"/>
  <c r="Z34" i="62"/>
  <c r="X34" i="62"/>
  <c r="V34" i="62"/>
  <c r="N34" i="62"/>
  <c r="L34" i="62"/>
  <c r="B34" i="62"/>
  <c r="Z33" i="62"/>
  <c r="X33" i="62"/>
  <c r="N33" i="62"/>
  <c r="L33" i="62"/>
  <c r="J33" i="62"/>
  <c r="B33" i="62"/>
  <c r="Z32" i="62"/>
  <c r="X32" i="62"/>
  <c r="L32" i="62"/>
  <c r="N32" i="62" s="1"/>
  <c r="J32" i="62"/>
  <c r="B32" i="62"/>
  <c r="T31" i="62"/>
  <c r="R31" i="62"/>
  <c r="P31" i="62"/>
  <c r="X31" i="62" s="1"/>
  <c r="Z31" i="62" s="1"/>
  <c r="L31" i="62"/>
  <c r="J31" i="62"/>
  <c r="H31" i="62"/>
  <c r="D31" i="62"/>
  <c r="B31" i="62"/>
  <c r="Z30" i="62"/>
  <c r="X30" i="62"/>
  <c r="N30" i="62"/>
  <c r="L30" i="62"/>
  <c r="B30" i="62"/>
  <c r="X29" i="62"/>
  <c r="Z29" i="62" s="1"/>
  <c r="N29" i="62"/>
  <c r="L29" i="62"/>
  <c r="J29" i="62"/>
  <c r="F29" i="62"/>
  <c r="B29" i="62"/>
  <c r="Z28" i="62"/>
  <c r="X28" i="62"/>
  <c r="L28" i="62"/>
  <c r="N28" i="62" s="1"/>
  <c r="J28" i="62"/>
  <c r="B28" i="62"/>
  <c r="Z27" i="62"/>
  <c r="X27" i="62"/>
  <c r="N27" i="62"/>
  <c r="L27" i="62"/>
  <c r="B27" i="62"/>
  <c r="Z26" i="62"/>
  <c r="X26" i="62"/>
  <c r="R26" i="62"/>
  <c r="N26" i="62"/>
  <c r="L26" i="62"/>
  <c r="J26" i="62"/>
  <c r="B26" i="62"/>
  <c r="Z25" i="62"/>
  <c r="X25" i="62"/>
  <c r="R25" i="62"/>
  <c r="L25" i="62"/>
  <c r="N25" i="62" s="1"/>
  <c r="J25" i="62"/>
  <c r="B25" i="62"/>
  <c r="X24" i="62"/>
  <c r="Z24" i="62" s="1"/>
  <c r="V24" i="62"/>
  <c r="N24" i="62"/>
  <c r="L24" i="62"/>
  <c r="J24" i="62"/>
  <c r="B24" i="62"/>
  <c r="Z23" i="62"/>
  <c r="X23" i="62"/>
  <c r="R23" i="62"/>
  <c r="N23" i="62"/>
  <c r="L23" i="62"/>
  <c r="B23" i="62"/>
  <c r="Z22" i="62"/>
  <c r="X22" i="62"/>
  <c r="N22" i="62"/>
  <c r="L22" i="62"/>
  <c r="F22" i="62"/>
  <c r="B22" i="62"/>
  <c r="X21" i="62"/>
  <c r="Z21" i="62" s="1"/>
  <c r="N21" i="62"/>
  <c r="L21" i="62"/>
  <c r="J21" i="62"/>
  <c r="B21" i="62"/>
  <c r="Z20" i="62"/>
  <c r="T20" i="62"/>
  <c r="P20" i="62"/>
  <c r="X20" i="62" s="1"/>
  <c r="N20" i="62"/>
  <c r="J20" i="62"/>
  <c r="H20" i="62"/>
  <c r="D20" i="62"/>
  <c r="L20" i="62" s="1"/>
  <c r="B20" i="62"/>
  <c r="Z19" i="62"/>
  <c r="T19" i="62" a="1"/>
  <c r="T19" i="62" s="1"/>
  <c r="X19" i="62" s="1"/>
  <c r="P19" i="62" a="1"/>
  <c r="P19" i="62" s="1"/>
  <c r="H19" i="62" a="1"/>
  <c r="H19" i="62" s="1"/>
  <c r="D19" i="62" a="1"/>
  <c r="D19" i="62" s="1"/>
  <c r="L19" i="62" s="1"/>
  <c r="N19" i="62" s="1"/>
  <c r="Z17" i="62"/>
  <c r="T17" i="62"/>
  <c r="T102" i="62" s="1"/>
  <c r="T106" i="62" s="1"/>
  <c r="J17" i="62"/>
  <c r="H17" i="62"/>
  <c r="Z15" i="62"/>
  <c r="X15" i="62"/>
  <c r="N15" i="62"/>
  <c r="L15" i="62"/>
  <c r="J15" i="62"/>
  <c r="B15" i="62"/>
  <c r="T14" i="62"/>
  <c r="R14" i="62"/>
  <c r="P14" i="62"/>
  <c r="N14" i="62"/>
  <c r="J14" i="62"/>
  <c r="H14" i="62"/>
  <c r="D14" i="62"/>
  <c r="L14" i="62" s="1"/>
  <c r="Z12" i="62"/>
  <c r="T12" i="62"/>
  <c r="V92" i="62" s="1"/>
  <c r="P12" i="62"/>
  <c r="R104" i="62" s="1"/>
  <c r="N12" i="62"/>
  <c r="H12" i="62"/>
  <c r="J100" i="62" s="1"/>
  <c r="D12" i="62"/>
  <c r="F104" i="62" s="1"/>
  <c r="D6" i="62"/>
  <c r="D4" i="62"/>
  <c r="J64" i="61"/>
  <c r="F61" i="61"/>
  <c r="Z59" i="61"/>
  <c r="X59" i="61"/>
  <c r="N59" i="61"/>
  <c r="L59" i="61"/>
  <c r="J59" i="61"/>
  <c r="J57" i="61"/>
  <c r="X55" i="61"/>
  <c r="T55" i="61"/>
  <c r="Z55" i="61" s="1"/>
  <c r="P55" i="61"/>
  <c r="H55" i="61"/>
  <c r="F55" i="61"/>
  <c r="D55" i="61"/>
  <c r="Z53" i="61"/>
  <c r="X53" i="61"/>
  <c r="N53" i="61"/>
  <c r="L53" i="61"/>
  <c r="J53" i="61"/>
  <c r="B53" i="61"/>
  <c r="T52" i="61"/>
  <c r="P52" i="61"/>
  <c r="X52" i="61" s="1"/>
  <c r="Z52" i="61" s="1"/>
  <c r="L52" i="61"/>
  <c r="H52" i="61"/>
  <c r="N52" i="61" s="1"/>
  <c r="D52" i="61"/>
  <c r="B52" i="61"/>
  <c r="Z51" i="61"/>
  <c r="X51" i="61"/>
  <c r="L51" i="61"/>
  <c r="N51" i="61" s="1"/>
  <c r="F51" i="61"/>
  <c r="B51" i="61"/>
  <c r="X50" i="61"/>
  <c r="Z50" i="61" s="1"/>
  <c r="N50" i="61"/>
  <c r="L50" i="61"/>
  <c r="J50" i="61"/>
  <c r="F50" i="61"/>
  <c r="B50" i="61"/>
  <c r="T49" i="61"/>
  <c r="P49" i="61"/>
  <c r="X49" i="61" s="1"/>
  <c r="Z49" i="61" s="1"/>
  <c r="N49" i="61"/>
  <c r="J49" i="61"/>
  <c r="H49" i="61"/>
  <c r="D49" i="61"/>
  <c r="L49" i="61" s="1"/>
  <c r="B49" i="61"/>
  <c r="X48" i="61"/>
  <c r="Z48" i="61" s="1"/>
  <c r="N48" i="61"/>
  <c r="L48" i="61"/>
  <c r="B48" i="61"/>
  <c r="T47" i="61"/>
  <c r="P47" i="61"/>
  <c r="X47" i="61" s="1"/>
  <c r="Z47" i="61" s="1"/>
  <c r="L47" i="61"/>
  <c r="N47" i="61" s="1"/>
  <c r="J47" i="61"/>
  <c r="H47" i="61"/>
  <c r="F47" i="61"/>
  <c r="D47" i="61"/>
  <c r="B47" i="61"/>
  <c r="Z46" i="61"/>
  <c r="X46" i="61"/>
  <c r="R46" i="61"/>
  <c r="N46" i="61"/>
  <c r="L46" i="61"/>
  <c r="B46" i="61"/>
  <c r="X45" i="61"/>
  <c r="Z45" i="61" s="1"/>
  <c r="N45" i="61"/>
  <c r="L45" i="61"/>
  <c r="B45" i="61"/>
  <c r="X44" i="61"/>
  <c r="T44" i="61"/>
  <c r="Z44" i="61" s="1"/>
  <c r="P44" i="61"/>
  <c r="J44" i="61"/>
  <c r="H44" i="61"/>
  <c r="D44" i="61"/>
  <c r="B44" i="61"/>
  <c r="X43" i="61"/>
  <c r="Z43" i="61" s="1"/>
  <c r="R43" i="61"/>
  <c r="N43" i="61"/>
  <c r="L43" i="61"/>
  <c r="J43" i="61"/>
  <c r="B43" i="61"/>
  <c r="T42" i="61"/>
  <c r="P42" i="61"/>
  <c r="N42" i="61"/>
  <c r="H42" i="61"/>
  <c r="F42" i="61"/>
  <c r="D42" i="61"/>
  <c r="L42" i="61" s="1"/>
  <c r="B42" i="61"/>
  <c r="Z41" i="61"/>
  <c r="X41" i="61"/>
  <c r="L41" i="61"/>
  <c r="N41" i="61" s="1"/>
  <c r="J41" i="61"/>
  <c r="B41" i="61"/>
  <c r="T40" i="61"/>
  <c r="P40" i="61"/>
  <c r="X40" i="61" s="1"/>
  <c r="Z40" i="61" s="1"/>
  <c r="L40" i="61"/>
  <c r="H40" i="61"/>
  <c r="N40" i="61" s="1"/>
  <c r="F40" i="61"/>
  <c r="D40" i="61"/>
  <c r="B40" i="61"/>
  <c r="Z39" i="61"/>
  <c r="X39" i="61"/>
  <c r="V39" i="61"/>
  <c r="N39" i="61"/>
  <c r="L39" i="61"/>
  <c r="F39" i="61"/>
  <c r="B39" i="61"/>
  <c r="Z38" i="61"/>
  <c r="X38" i="61"/>
  <c r="N38" i="61"/>
  <c r="L38" i="61"/>
  <c r="J38" i="61"/>
  <c r="F38" i="61"/>
  <c r="B38" i="61"/>
  <c r="Z37" i="61"/>
  <c r="X37" i="61"/>
  <c r="L37" i="61"/>
  <c r="N37" i="61" s="1"/>
  <c r="J37" i="61"/>
  <c r="B37" i="61"/>
  <c r="Z36" i="61"/>
  <c r="X36" i="61"/>
  <c r="N36" i="61"/>
  <c r="L36" i="61"/>
  <c r="F36" i="61"/>
  <c r="B36" i="61"/>
  <c r="Z35" i="61"/>
  <c r="X35" i="61"/>
  <c r="N35" i="61"/>
  <c r="L35" i="61"/>
  <c r="J35" i="61"/>
  <c r="B35" i="61"/>
  <c r="Z34" i="61"/>
  <c r="X34" i="61"/>
  <c r="V34" i="61"/>
  <c r="N34" i="61"/>
  <c r="L34" i="61"/>
  <c r="B34" i="61"/>
  <c r="X33" i="61"/>
  <c r="Z33" i="61" s="1"/>
  <c r="N33" i="61"/>
  <c r="L33" i="61"/>
  <c r="F33" i="61"/>
  <c r="B33" i="61"/>
  <c r="Z32" i="61"/>
  <c r="X32" i="61"/>
  <c r="N32" i="61"/>
  <c r="L32" i="61"/>
  <c r="B32" i="61"/>
  <c r="Z31" i="61"/>
  <c r="X31" i="61"/>
  <c r="N31" i="61"/>
  <c r="L31" i="61"/>
  <c r="F31" i="61"/>
  <c r="B31" i="61"/>
  <c r="Z30" i="61"/>
  <c r="X30" i="61"/>
  <c r="N30" i="61"/>
  <c r="L30" i="61"/>
  <c r="J30" i="61"/>
  <c r="F30" i="61"/>
  <c r="B30" i="61"/>
  <c r="T29" i="61"/>
  <c r="P29" i="61"/>
  <c r="X29" i="61" s="1"/>
  <c r="Z29" i="61" s="1"/>
  <c r="N29" i="61"/>
  <c r="J29" i="61"/>
  <c r="H29" i="61"/>
  <c r="D29" i="61"/>
  <c r="L29" i="61" s="1"/>
  <c r="B29" i="61"/>
  <c r="X28" i="61"/>
  <c r="Z28" i="61" s="1"/>
  <c r="N28" i="61"/>
  <c r="L28" i="61"/>
  <c r="B28" i="61"/>
  <c r="Z27" i="61"/>
  <c r="X27" i="61"/>
  <c r="L27" i="61"/>
  <c r="N27" i="61" s="1"/>
  <c r="F27" i="61"/>
  <c r="B27" i="61"/>
  <c r="X26" i="61"/>
  <c r="Z26" i="61" s="1"/>
  <c r="N26" i="61"/>
  <c r="L26" i="61"/>
  <c r="J26" i="61"/>
  <c r="F26" i="61"/>
  <c r="B26" i="61"/>
  <c r="Z25" i="61"/>
  <c r="X25" i="61"/>
  <c r="N25" i="61"/>
  <c r="L25" i="61"/>
  <c r="J25" i="61"/>
  <c r="B25" i="61"/>
  <c r="Z24" i="61"/>
  <c r="X24" i="61"/>
  <c r="N24" i="61"/>
  <c r="L24" i="61"/>
  <c r="F24" i="61"/>
  <c r="B24" i="61"/>
  <c r="X23" i="61"/>
  <c r="Z23" i="61" s="1"/>
  <c r="N23" i="61"/>
  <c r="L23" i="61"/>
  <c r="J23" i="61"/>
  <c r="B23" i="61"/>
  <c r="Z22" i="61"/>
  <c r="X22" i="61"/>
  <c r="L22" i="61"/>
  <c r="N22" i="61" s="1"/>
  <c r="B22" i="61"/>
  <c r="X21" i="61"/>
  <c r="Z21" i="61" s="1"/>
  <c r="V21" i="61"/>
  <c r="N21" i="61"/>
  <c r="L21" i="61"/>
  <c r="F21" i="61"/>
  <c r="B21" i="61"/>
  <c r="X20" i="61"/>
  <c r="Z20" i="61" s="1"/>
  <c r="N20" i="61"/>
  <c r="L20" i="61"/>
  <c r="B20" i="61"/>
  <c r="T19" i="61"/>
  <c r="P19" i="61"/>
  <c r="X19" i="61" s="1"/>
  <c r="Z19" i="61" s="1"/>
  <c r="L19" i="61"/>
  <c r="J19" i="61"/>
  <c r="H19" i="61"/>
  <c r="F19" i="61"/>
  <c r="D19" i="61"/>
  <c r="B19" i="61"/>
  <c r="T18" i="61" a="1"/>
  <c r="T18" i="61" s="1"/>
  <c r="P18" i="61" a="1"/>
  <c r="P18" i="61" s="1"/>
  <c r="J18" i="61"/>
  <c r="H18" i="61" a="1"/>
  <c r="H18" i="61" s="1"/>
  <c r="F18" i="61"/>
  <c r="D18" i="61" a="1"/>
  <c r="D18" i="61" s="1"/>
  <c r="T16" i="61"/>
  <c r="J16" i="61"/>
  <c r="F16" i="61"/>
  <c r="D16" i="61"/>
  <c r="X14" i="61"/>
  <c r="T14" i="61"/>
  <c r="Z14" i="61" s="1"/>
  <c r="P14" i="61"/>
  <c r="N14" i="61"/>
  <c r="H14" i="61"/>
  <c r="L14" i="61" s="1"/>
  <c r="F14" i="61"/>
  <c r="D14" i="61"/>
  <c r="T12" i="61"/>
  <c r="V47" i="61" s="1"/>
  <c r="P12" i="61"/>
  <c r="R40" i="61" s="1"/>
  <c r="L12" i="61"/>
  <c r="H12" i="61"/>
  <c r="J52" i="61" s="1"/>
  <c r="D12" i="61"/>
  <c r="F43" i="61" s="1"/>
  <c r="D6" i="61"/>
  <c r="D4" i="61"/>
  <c r="Z61" i="60"/>
  <c r="X61" i="60"/>
  <c r="N61" i="60"/>
  <c r="L61" i="60"/>
  <c r="Z57" i="60"/>
  <c r="T57" i="60"/>
  <c r="P57" i="60"/>
  <c r="X57" i="60" s="1"/>
  <c r="L57" i="60"/>
  <c r="H57" i="60"/>
  <c r="N57" i="60" s="1"/>
  <c r="D57" i="60"/>
  <c r="X55" i="60"/>
  <c r="Z55" i="60" s="1"/>
  <c r="N55" i="60"/>
  <c r="L55" i="60"/>
  <c r="B55" i="60"/>
  <c r="V54" i="60"/>
  <c r="T54" i="60"/>
  <c r="P54" i="60"/>
  <c r="X54" i="60" s="1"/>
  <c r="Z54" i="60" s="1"/>
  <c r="L54" i="60"/>
  <c r="H54" i="60"/>
  <c r="F54" i="60"/>
  <c r="D54" i="60"/>
  <c r="B54" i="60"/>
  <c r="Z53" i="60"/>
  <c r="X53" i="60"/>
  <c r="V53" i="60"/>
  <c r="N53" i="60"/>
  <c r="L53" i="60"/>
  <c r="B53" i="60"/>
  <c r="X52" i="60"/>
  <c r="Z52" i="60" s="1"/>
  <c r="V52" i="60"/>
  <c r="N52" i="60"/>
  <c r="L52" i="60"/>
  <c r="B52" i="60"/>
  <c r="Z51" i="60"/>
  <c r="X51" i="60"/>
  <c r="N51" i="60"/>
  <c r="L51" i="60"/>
  <c r="B51" i="60"/>
  <c r="V50" i="60"/>
  <c r="T50" i="60"/>
  <c r="P50" i="60"/>
  <c r="X50" i="60" s="1"/>
  <c r="Z50" i="60" s="1"/>
  <c r="L50" i="60"/>
  <c r="N50" i="60" s="1"/>
  <c r="H50" i="60"/>
  <c r="F50" i="60"/>
  <c r="D50" i="60"/>
  <c r="B50" i="60"/>
  <c r="Z49" i="60"/>
  <c r="X49" i="60"/>
  <c r="V49" i="60"/>
  <c r="L49" i="60"/>
  <c r="N49" i="60" s="1"/>
  <c r="B49" i="60"/>
  <c r="X48" i="60"/>
  <c r="Z48" i="60" s="1"/>
  <c r="V48" i="60"/>
  <c r="T48" i="60"/>
  <c r="R48" i="60"/>
  <c r="P48" i="60"/>
  <c r="H48" i="60"/>
  <c r="F48" i="60"/>
  <c r="D48" i="60"/>
  <c r="B48" i="60"/>
  <c r="Z47" i="60"/>
  <c r="X47" i="60"/>
  <c r="N47" i="60"/>
  <c r="L47" i="60"/>
  <c r="F47" i="60"/>
  <c r="B47" i="60"/>
  <c r="X46" i="60"/>
  <c r="Z46" i="60" s="1"/>
  <c r="N46" i="60"/>
  <c r="L46" i="60"/>
  <c r="J46" i="60"/>
  <c r="B46" i="60"/>
  <c r="Z45" i="60"/>
  <c r="X45" i="60"/>
  <c r="V45" i="60"/>
  <c r="N45" i="60"/>
  <c r="L45" i="60"/>
  <c r="B45" i="60"/>
  <c r="X44" i="60"/>
  <c r="Z44" i="60" s="1"/>
  <c r="V44" i="60"/>
  <c r="T44" i="60"/>
  <c r="R44" i="60"/>
  <c r="P44" i="60"/>
  <c r="H44" i="60"/>
  <c r="F44" i="60"/>
  <c r="D44" i="60"/>
  <c r="B44" i="60"/>
  <c r="Z43" i="60"/>
  <c r="X43" i="60"/>
  <c r="N43" i="60"/>
  <c r="L43" i="60"/>
  <c r="F43" i="60"/>
  <c r="B43" i="60"/>
  <c r="T42" i="60"/>
  <c r="P42" i="60"/>
  <c r="H42" i="60"/>
  <c r="D42" i="60"/>
  <c r="L42" i="60" s="1"/>
  <c r="N42" i="60" s="1"/>
  <c r="B42" i="60"/>
  <c r="X41" i="60"/>
  <c r="Z41" i="60" s="1"/>
  <c r="N41" i="60"/>
  <c r="L41" i="60"/>
  <c r="F41" i="60"/>
  <c r="B41" i="60"/>
  <c r="Z40" i="60"/>
  <c r="T40" i="60"/>
  <c r="P40" i="60"/>
  <c r="X40" i="60" s="1"/>
  <c r="N40" i="60"/>
  <c r="H40" i="60"/>
  <c r="D40" i="60"/>
  <c r="L40" i="60" s="1"/>
  <c r="B40" i="60"/>
  <c r="Z39" i="60"/>
  <c r="X39" i="60"/>
  <c r="N39" i="60"/>
  <c r="L39" i="60"/>
  <c r="B39" i="60"/>
  <c r="Z38" i="60"/>
  <c r="X38" i="60"/>
  <c r="V38" i="60"/>
  <c r="N38" i="60"/>
  <c r="L38" i="60"/>
  <c r="F38" i="60"/>
  <c r="B38" i="60"/>
  <c r="Z37" i="60"/>
  <c r="X37" i="60"/>
  <c r="V37" i="60"/>
  <c r="N37" i="60"/>
  <c r="L37" i="60"/>
  <c r="F37" i="60"/>
  <c r="B37" i="60"/>
  <c r="Z36" i="60"/>
  <c r="X36" i="60"/>
  <c r="N36" i="60"/>
  <c r="L36" i="60"/>
  <c r="J36" i="60"/>
  <c r="B36" i="60"/>
  <c r="Z35" i="60"/>
  <c r="X35" i="60"/>
  <c r="V35" i="60"/>
  <c r="N35" i="60"/>
  <c r="L35" i="60"/>
  <c r="F35" i="60"/>
  <c r="B35" i="60"/>
  <c r="Z34" i="60"/>
  <c r="X34" i="60"/>
  <c r="N34" i="60"/>
  <c r="L34" i="60"/>
  <c r="J34" i="60"/>
  <c r="B34" i="60"/>
  <c r="Z33" i="60"/>
  <c r="X33" i="60"/>
  <c r="V33" i="60"/>
  <c r="L33" i="60"/>
  <c r="N33" i="60" s="1"/>
  <c r="B33" i="60"/>
  <c r="Z32" i="60"/>
  <c r="X32" i="60"/>
  <c r="V32" i="60"/>
  <c r="N32" i="60"/>
  <c r="L32" i="60"/>
  <c r="B32" i="60"/>
  <c r="Z31" i="60"/>
  <c r="X31" i="60"/>
  <c r="R31" i="60"/>
  <c r="N31" i="60"/>
  <c r="L31" i="60"/>
  <c r="B31" i="60"/>
  <c r="Z30" i="60"/>
  <c r="X30" i="60"/>
  <c r="V30" i="60"/>
  <c r="N30" i="60"/>
  <c r="L30" i="60"/>
  <c r="F30" i="60"/>
  <c r="B30" i="60"/>
  <c r="X29" i="60"/>
  <c r="V29" i="60"/>
  <c r="T29" i="60"/>
  <c r="Z29" i="60" s="1"/>
  <c r="P29" i="60"/>
  <c r="L29" i="60"/>
  <c r="H29" i="60"/>
  <c r="N29" i="60" s="1"/>
  <c r="D29" i="60"/>
  <c r="B29" i="60"/>
  <c r="X28" i="60"/>
  <c r="Z28" i="60" s="1"/>
  <c r="V28" i="60"/>
  <c r="N28" i="60"/>
  <c r="L28" i="60"/>
  <c r="B28" i="60"/>
  <c r="X27" i="60"/>
  <c r="Z27" i="60" s="1"/>
  <c r="N27" i="60"/>
  <c r="L27" i="60"/>
  <c r="B27" i="60"/>
  <c r="Z26" i="60"/>
  <c r="X26" i="60"/>
  <c r="V26" i="60"/>
  <c r="L26" i="60"/>
  <c r="N26" i="60" s="1"/>
  <c r="F26" i="60"/>
  <c r="B26" i="60"/>
  <c r="Z25" i="60"/>
  <c r="X25" i="60"/>
  <c r="V25" i="60"/>
  <c r="N25" i="60"/>
  <c r="L25" i="60"/>
  <c r="J25" i="60"/>
  <c r="F25" i="60"/>
  <c r="B25" i="60"/>
  <c r="Z24" i="60"/>
  <c r="X24" i="60"/>
  <c r="N24" i="60"/>
  <c r="L24" i="60"/>
  <c r="B24" i="60"/>
  <c r="Z23" i="60"/>
  <c r="X23" i="60"/>
  <c r="V23" i="60"/>
  <c r="N23" i="60"/>
  <c r="L23" i="60"/>
  <c r="F23" i="60"/>
  <c r="B23" i="60"/>
  <c r="X22" i="60"/>
  <c r="Z22" i="60" s="1"/>
  <c r="N22" i="60"/>
  <c r="L22" i="60"/>
  <c r="B22" i="60"/>
  <c r="Z21" i="60"/>
  <c r="X21" i="60"/>
  <c r="V21" i="60"/>
  <c r="L21" i="60"/>
  <c r="N21" i="60" s="1"/>
  <c r="B21" i="60"/>
  <c r="X20" i="60"/>
  <c r="Z20" i="60" s="1"/>
  <c r="V20" i="60"/>
  <c r="N20" i="60"/>
  <c r="L20" i="60"/>
  <c r="B20" i="60"/>
  <c r="X19" i="60"/>
  <c r="T19" i="60"/>
  <c r="Z19" i="60" s="1"/>
  <c r="P19" i="60"/>
  <c r="H19" i="60"/>
  <c r="D19" i="60"/>
  <c r="B19" i="60"/>
  <c r="T18" i="60" a="1"/>
  <c r="T18" i="60"/>
  <c r="P18" i="60" a="1"/>
  <c r="P18" i="60" s="1"/>
  <c r="H18" i="60" a="1"/>
  <c r="H18" i="60" s="1"/>
  <c r="D18" i="60" a="1"/>
  <c r="D18" i="60" s="1"/>
  <c r="L18" i="60" s="1"/>
  <c r="T16" i="60"/>
  <c r="Z16" i="60" s="1"/>
  <c r="R16" i="60"/>
  <c r="D16" i="60"/>
  <c r="D59" i="60" s="1"/>
  <c r="Z14" i="60"/>
  <c r="V14" i="60"/>
  <c r="T14" i="60"/>
  <c r="P14" i="60"/>
  <c r="X14" i="60" s="1"/>
  <c r="N14" i="60"/>
  <c r="L14" i="60"/>
  <c r="H14" i="60"/>
  <c r="F14" i="60"/>
  <c r="D14" i="60"/>
  <c r="Z12" i="60"/>
  <c r="T12" i="60"/>
  <c r="V41" i="60" s="1"/>
  <c r="P12" i="60"/>
  <c r="R63" i="60" s="1"/>
  <c r="N12" i="60"/>
  <c r="H12" i="60"/>
  <c r="J59" i="60" s="1"/>
  <c r="D12" i="60"/>
  <c r="F46" i="60" s="1"/>
  <c r="D6" i="60"/>
  <c r="D4" i="60"/>
  <c r="V75" i="59"/>
  <c r="R75" i="59"/>
  <c r="J72" i="59"/>
  <c r="Z70" i="59"/>
  <c r="X70" i="59"/>
  <c r="N70" i="59"/>
  <c r="L70" i="59"/>
  <c r="R68" i="59"/>
  <c r="Z66" i="59"/>
  <c r="T66" i="59"/>
  <c r="P66" i="59"/>
  <c r="X66" i="59" s="1"/>
  <c r="N66" i="59"/>
  <c r="J66" i="59"/>
  <c r="H66" i="59"/>
  <c r="D66" i="59"/>
  <c r="L66" i="59" s="1"/>
  <c r="X64" i="59"/>
  <c r="Z64" i="59" s="1"/>
  <c r="N64" i="59"/>
  <c r="L64" i="59"/>
  <c r="B64" i="59"/>
  <c r="T63" i="59"/>
  <c r="P63" i="59"/>
  <c r="J63" i="59"/>
  <c r="H63" i="59"/>
  <c r="N63" i="59" s="1"/>
  <c r="D63" i="59"/>
  <c r="L63" i="59" s="1"/>
  <c r="B63" i="59"/>
  <c r="Z62" i="59"/>
  <c r="X62" i="59"/>
  <c r="R62" i="59"/>
  <c r="N62" i="59"/>
  <c r="L62" i="59"/>
  <c r="J62" i="59"/>
  <c r="B62" i="59"/>
  <c r="T61" i="59"/>
  <c r="Z61" i="59" s="1"/>
  <c r="P61" i="59"/>
  <c r="N61" i="59"/>
  <c r="H61" i="59"/>
  <c r="D61" i="59"/>
  <c r="L61" i="59" s="1"/>
  <c r="B61" i="59"/>
  <c r="Z60" i="59"/>
  <c r="X60" i="59"/>
  <c r="L60" i="59"/>
  <c r="N60" i="59" s="1"/>
  <c r="J60" i="59"/>
  <c r="B60" i="59"/>
  <c r="Z59" i="59"/>
  <c r="X59" i="59"/>
  <c r="N59" i="59"/>
  <c r="L59" i="59"/>
  <c r="B59" i="59"/>
  <c r="T58" i="59"/>
  <c r="R58" i="59"/>
  <c r="P58" i="59"/>
  <c r="H58" i="59"/>
  <c r="D58" i="59"/>
  <c r="L58" i="59" s="1"/>
  <c r="N58" i="59" s="1"/>
  <c r="B58" i="59"/>
  <c r="X57" i="59"/>
  <c r="Z57" i="59" s="1"/>
  <c r="N57" i="59"/>
  <c r="L57" i="59"/>
  <c r="J57" i="59"/>
  <c r="B57" i="59"/>
  <c r="Z56" i="59"/>
  <c r="T56" i="59"/>
  <c r="P56" i="59"/>
  <c r="X56" i="59" s="1"/>
  <c r="N56" i="59"/>
  <c r="J56" i="59"/>
  <c r="H56" i="59"/>
  <c r="D56" i="59"/>
  <c r="L56" i="59" s="1"/>
  <c r="B56" i="59"/>
  <c r="X55" i="59"/>
  <c r="Z55" i="59" s="1"/>
  <c r="R55" i="59"/>
  <c r="N55" i="59"/>
  <c r="L55" i="59"/>
  <c r="B55" i="59"/>
  <c r="Z54" i="59"/>
  <c r="X54" i="59"/>
  <c r="N54" i="59"/>
  <c r="L54" i="59"/>
  <c r="F54" i="59"/>
  <c r="B54" i="59"/>
  <c r="X53" i="59"/>
  <c r="T53" i="59"/>
  <c r="P53" i="59"/>
  <c r="N53" i="59"/>
  <c r="L53" i="59"/>
  <c r="H53" i="59"/>
  <c r="D53" i="59"/>
  <c r="B53" i="59"/>
  <c r="Z52" i="59"/>
  <c r="X52" i="59"/>
  <c r="V52" i="59"/>
  <c r="N52" i="59"/>
  <c r="L52" i="59"/>
  <c r="B52" i="59"/>
  <c r="Z51" i="59"/>
  <c r="X51" i="59"/>
  <c r="R51" i="59"/>
  <c r="N51" i="59"/>
  <c r="L51" i="59"/>
  <c r="B51" i="59"/>
  <c r="Z50" i="59"/>
  <c r="X50" i="59"/>
  <c r="V50" i="59"/>
  <c r="N50" i="59"/>
  <c r="L50" i="59"/>
  <c r="B50" i="59"/>
  <c r="X49" i="59"/>
  <c r="Z49" i="59" s="1"/>
  <c r="N49" i="59"/>
  <c r="L49" i="59"/>
  <c r="J49" i="59"/>
  <c r="B49" i="59"/>
  <c r="T48" i="59"/>
  <c r="P48" i="59"/>
  <c r="X48" i="59" s="1"/>
  <c r="Z48" i="59" s="1"/>
  <c r="N48" i="59"/>
  <c r="J48" i="59"/>
  <c r="H48" i="59"/>
  <c r="D48" i="59"/>
  <c r="L48" i="59" s="1"/>
  <c r="B48" i="59"/>
  <c r="X47" i="59"/>
  <c r="Z47" i="59" s="1"/>
  <c r="R47" i="59"/>
  <c r="N47" i="59"/>
  <c r="L47" i="59"/>
  <c r="B47" i="59"/>
  <c r="T46" i="59"/>
  <c r="P46" i="59"/>
  <c r="X46" i="59" s="1"/>
  <c r="Z46" i="59" s="1"/>
  <c r="L46" i="59"/>
  <c r="J46" i="59"/>
  <c r="H46" i="59"/>
  <c r="D46" i="59"/>
  <c r="B46" i="59"/>
  <c r="Z45" i="59"/>
  <c r="X45" i="59"/>
  <c r="R45" i="59"/>
  <c r="L45" i="59"/>
  <c r="N45" i="59" s="1"/>
  <c r="B45" i="59"/>
  <c r="X44" i="59"/>
  <c r="Z44" i="59" s="1"/>
  <c r="N44" i="59"/>
  <c r="L44" i="59"/>
  <c r="B44" i="59"/>
  <c r="T43" i="59"/>
  <c r="P43" i="59"/>
  <c r="J43" i="59"/>
  <c r="H43" i="59"/>
  <c r="D43" i="59"/>
  <c r="L43" i="59" s="1"/>
  <c r="B43" i="59"/>
  <c r="Z42" i="59"/>
  <c r="X42" i="59"/>
  <c r="R42" i="59"/>
  <c r="N42" i="59"/>
  <c r="L42" i="59"/>
  <c r="J42" i="59"/>
  <c r="B42" i="59"/>
  <c r="T41" i="59"/>
  <c r="Z41" i="59" s="1"/>
  <c r="P41" i="59"/>
  <c r="N41" i="59"/>
  <c r="H41" i="59"/>
  <c r="D41" i="59"/>
  <c r="L41" i="59" s="1"/>
  <c r="B41" i="59"/>
  <c r="Z40" i="59"/>
  <c r="X40" i="59"/>
  <c r="N40" i="59"/>
  <c r="L40" i="59"/>
  <c r="J40" i="59"/>
  <c r="B40" i="59"/>
  <c r="Z39" i="59"/>
  <c r="X39" i="59"/>
  <c r="N39" i="59"/>
  <c r="L39" i="59"/>
  <c r="B39" i="59"/>
  <c r="Z38" i="59"/>
  <c r="X38" i="59"/>
  <c r="R38" i="59"/>
  <c r="N38" i="59"/>
  <c r="L38" i="59"/>
  <c r="J38" i="59"/>
  <c r="B38" i="59"/>
  <c r="Z37" i="59"/>
  <c r="X37" i="59"/>
  <c r="R37" i="59"/>
  <c r="N37" i="59"/>
  <c r="L37" i="59"/>
  <c r="J37" i="59"/>
  <c r="B37" i="59"/>
  <c r="Z36" i="59"/>
  <c r="X36" i="59"/>
  <c r="N36" i="59"/>
  <c r="L36" i="59"/>
  <c r="B36" i="59"/>
  <c r="Z35" i="59"/>
  <c r="X35" i="59"/>
  <c r="R35" i="59"/>
  <c r="N35" i="59"/>
  <c r="L35" i="59"/>
  <c r="B35" i="59"/>
  <c r="Z34" i="59"/>
  <c r="X34" i="59"/>
  <c r="L34" i="59"/>
  <c r="N34" i="59" s="1"/>
  <c r="F34" i="59"/>
  <c r="B34" i="59"/>
  <c r="Z33" i="59"/>
  <c r="X33" i="59"/>
  <c r="N33" i="59"/>
  <c r="L33" i="59"/>
  <c r="J33" i="59"/>
  <c r="B33" i="59"/>
  <c r="Z32" i="59"/>
  <c r="X32" i="59"/>
  <c r="L32" i="59"/>
  <c r="N32" i="59" s="1"/>
  <c r="J32" i="59"/>
  <c r="B32" i="59"/>
  <c r="Z31" i="59"/>
  <c r="X31" i="59"/>
  <c r="N31" i="59"/>
  <c r="L31" i="59"/>
  <c r="B31" i="59"/>
  <c r="T30" i="59"/>
  <c r="R30" i="59"/>
  <c r="P30" i="59"/>
  <c r="H30" i="59"/>
  <c r="D30" i="59"/>
  <c r="L30" i="59" s="1"/>
  <c r="N30" i="59" s="1"/>
  <c r="B30" i="59"/>
  <c r="X29" i="59"/>
  <c r="Z29" i="59" s="1"/>
  <c r="N29" i="59"/>
  <c r="L29" i="59"/>
  <c r="J29" i="59"/>
  <c r="B29" i="59"/>
  <c r="Z28" i="59"/>
  <c r="X28" i="59"/>
  <c r="L28" i="59"/>
  <c r="N28" i="59" s="1"/>
  <c r="J28" i="59"/>
  <c r="B28" i="59"/>
  <c r="Z27" i="59"/>
  <c r="X27" i="59"/>
  <c r="N27" i="59"/>
  <c r="L27" i="59"/>
  <c r="B27" i="59"/>
  <c r="Z26" i="59"/>
  <c r="X26" i="59"/>
  <c r="R26" i="59"/>
  <c r="N26" i="59"/>
  <c r="L26" i="59"/>
  <c r="J26" i="59"/>
  <c r="B26" i="59"/>
  <c r="Z25" i="59"/>
  <c r="X25" i="59"/>
  <c r="R25" i="59"/>
  <c r="N25" i="59"/>
  <c r="L25" i="59"/>
  <c r="J25" i="59"/>
  <c r="B25" i="59"/>
  <c r="X24" i="59"/>
  <c r="Z24" i="59" s="1"/>
  <c r="V24" i="59"/>
  <c r="N24" i="59"/>
  <c r="L24" i="59"/>
  <c r="B24" i="59"/>
  <c r="Z23" i="59"/>
  <c r="X23" i="59"/>
  <c r="R23" i="59"/>
  <c r="N23" i="59"/>
  <c r="L23" i="59"/>
  <c r="B23" i="59"/>
  <c r="Z22" i="59"/>
  <c r="X22" i="59"/>
  <c r="V22" i="59"/>
  <c r="L22" i="59"/>
  <c r="N22" i="59" s="1"/>
  <c r="B22" i="59"/>
  <c r="X21" i="59"/>
  <c r="Z21" i="59" s="1"/>
  <c r="N21" i="59"/>
  <c r="L21" i="59"/>
  <c r="J21" i="59"/>
  <c r="F21" i="59"/>
  <c r="B21" i="59"/>
  <c r="Z20" i="59"/>
  <c r="X20" i="59"/>
  <c r="L20" i="59"/>
  <c r="N20" i="59" s="1"/>
  <c r="J20" i="59"/>
  <c r="B20" i="59"/>
  <c r="T19" i="59"/>
  <c r="R19" i="59"/>
  <c r="P19" i="59"/>
  <c r="X19" i="59" s="1"/>
  <c r="Z19" i="59" s="1"/>
  <c r="L19" i="59"/>
  <c r="J19" i="59"/>
  <c r="H19" i="59"/>
  <c r="N19" i="59" s="1"/>
  <c r="D19" i="59"/>
  <c r="B19" i="59"/>
  <c r="V18" i="59"/>
  <c r="T18" i="59" a="1"/>
  <c r="T18" i="59" s="1"/>
  <c r="Z18" i="59" s="1"/>
  <c r="P18" i="59" a="1"/>
  <c r="P18" i="59"/>
  <c r="X18" i="59" s="1"/>
  <c r="J18" i="59"/>
  <c r="H18" i="59" a="1"/>
  <c r="H18" i="59" s="1"/>
  <c r="D18" i="59" a="1"/>
  <c r="D18" i="59"/>
  <c r="L18" i="59" s="1"/>
  <c r="N18" i="59" s="1"/>
  <c r="V16" i="59"/>
  <c r="J16" i="59"/>
  <c r="T14" i="59"/>
  <c r="R14" i="59"/>
  <c r="P14" i="59"/>
  <c r="N14" i="59"/>
  <c r="H14" i="59"/>
  <c r="D14" i="59"/>
  <c r="L14" i="59" s="1"/>
  <c r="Z12" i="59"/>
  <c r="T12" i="59"/>
  <c r="V68" i="59" s="1"/>
  <c r="P12" i="59"/>
  <c r="R63" i="59" s="1"/>
  <c r="H12" i="59"/>
  <c r="J45" i="59" s="1"/>
  <c r="D12" i="59"/>
  <c r="D6" i="59"/>
  <c r="D4" i="59"/>
  <c r="J84" i="58"/>
  <c r="V81" i="58"/>
  <c r="F81" i="58"/>
  <c r="Z79" i="58"/>
  <c r="X79" i="58"/>
  <c r="N79" i="58"/>
  <c r="L79" i="58"/>
  <c r="J79" i="58"/>
  <c r="J77" i="58"/>
  <c r="Z75" i="58"/>
  <c r="X75" i="58"/>
  <c r="T75" i="58"/>
  <c r="P75" i="58"/>
  <c r="H75" i="58"/>
  <c r="F75" i="58"/>
  <c r="D75" i="58"/>
  <c r="Z73" i="58"/>
  <c r="X73" i="58"/>
  <c r="N73" i="58"/>
  <c r="L73" i="58"/>
  <c r="J73" i="58"/>
  <c r="B73" i="58"/>
  <c r="T72" i="58"/>
  <c r="P72" i="58"/>
  <c r="X72" i="58" s="1"/>
  <c r="Z72" i="58" s="1"/>
  <c r="L72" i="58"/>
  <c r="H72" i="58"/>
  <c r="N72" i="58" s="1"/>
  <c r="D72" i="58"/>
  <c r="B72" i="58"/>
  <c r="Z71" i="58"/>
  <c r="X71" i="58"/>
  <c r="L71" i="58"/>
  <c r="N71" i="58" s="1"/>
  <c r="F71" i="58"/>
  <c r="B71" i="58"/>
  <c r="X70" i="58"/>
  <c r="T70" i="58"/>
  <c r="Z70" i="58" s="1"/>
  <c r="P70" i="58"/>
  <c r="N70" i="58"/>
  <c r="L70" i="58"/>
  <c r="H70" i="58"/>
  <c r="D70" i="58"/>
  <c r="B70" i="58"/>
  <c r="X69" i="58"/>
  <c r="Z69" i="58" s="1"/>
  <c r="N69" i="58"/>
  <c r="L69" i="58"/>
  <c r="B69" i="58"/>
  <c r="T68" i="58"/>
  <c r="P68" i="58"/>
  <c r="J68" i="58"/>
  <c r="H68" i="58"/>
  <c r="D68" i="58"/>
  <c r="L68" i="58" s="1"/>
  <c r="B68" i="58"/>
  <c r="Z67" i="58"/>
  <c r="X67" i="58"/>
  <c r="R67" i="58"/>
  <c r="N67" i="58"/>
  <c r="L67" i="58"/>
  <c r="J67" i="58"/>
  <c r="B67" i="58"/>
  <c r="X66" i="58"/>
  <c r="Z66" i="58" s="1"/>
  <c r="L66" i="58"/>
  <c r="N66" i="58" s="1"/>
  <c r="B66" i="58"/>
  <c r="X65" i="58"/>
  <c r="Z65" i="58" s="1"/>
  <c r="N65" i="58"/>
  <c r="L65" i="58"/>
  <c r="B65" i="58"/>
  <c r="Z64" i="58"/>
  <c r="X64" i="58"/>
  <c r="N64" i="58"/>
  <c r="L64" i="58"/>
  <c r="B64" i="58"/>
  <c r="T63" i="58"/>
  <c r="P63" i="58"/>
  <c r="X63" i="58" s="1"/>
  <c r="Z63" i="58" s="1"/>
  <c r="L63" i="58"/>
  <c r="N63" i="58" s="1"/>
  <c r="J63" i="58"/>
  <c r="H63" i="58"/>
  <c r="F63" i="58"/>
  <c r="D63" i="58"/>
  <c r="B63" i="58"/>
  <c r="Z62" i="58"/>
  <c r="X62" i="58"/>
  <c r="N62" i="58"/>
  <c r="L62" i="58"/>
  <c r="B62" i="58"/>
  <c r="X61" i="58"/>
  <c r="Z61" i="58" s="1"/>
  <c r="N61" i="58"/>
  <c r="L61" i="58"/>
  <c r="B61" i="58"/>
  <c r="X60" i="58"/>
  <c r="Z60" i="58" s="1"/>
  <c r="T60" i="58"/>
  <c r="P60" i="58"/>
  <c r="J60" i="58"/>
  <c r="H60" i="58"/>
  <c r="N60" i="58" s="1"/>
  <c r="D60" i="58"/>
  <c r="B60" i="58"/>
  <c r="Z59" i="58"/>
  <c r="X59" i="58"/>
  <c r="N59" i="58"/>
  <c r="L59" i="58"/>
  <c r="J59" i="58"/>
  <c r="B59" i="58"/>
  <c r="X58" i="58"/>
  <c r="Z58" i="58" s="1"/>
  <c r="R58" i="58"/>
  <c r="L58" i="58"/>
  <c r="N58" i="58" s="1"/>
  <c r="B58" i="58"/>
  <c r="X57" i="58"/>
  <c r="Z57" i="58" s="1"/>
  <c r="V57" i="58"/>
  <c r="T57" i="58"/>
  <c r="P57" i="58"/>
  <c r="H57" i="58"/>
  <c r="F57" i="58"/>
  <c r="D57" i="58"/>
  <c r="B57" i="58"/>
  <c r="Z56" i="58"/>
  <c r="X56" i="58"/>
  <c r="N56" i="58"/>
  <c r="L56" i="58"/>
  <c r="F56" i="58"/>
  <c r="B56" i="58"/>
  <c r="X55" i="58"/>
  <c r="Z55" i="58" s="1"/>
  <c r="N55" i="58"/>
  <c r="L55" i="58"/>
  <c r="J55" i="58"/>
  <c r="F55" i="58"/>
  <c r="B55" i="58"/>
  <c r="Z54" i="58"/>
  <c r="X54" i="58"/>
  <c r="R54" i="58"/>
  <c r="N54" i="58"/>
  <c r="L54" i="58"/>
  <c r="B54" i="58"/>
  <c r="X53" i="58"/>
  <c r="Z53" i="58" s="1"/>
  <c r="T53" i="58"/>
  <c r="P53" i="58"/>
  <c r="H53" i="58"/>
  <c r="F53" i="58"/>
  <c r="D53" i="58"/>
  <c r="B53" i="58"/>
  <c r="Z52" i="58"/>
  <c r="X52" i="58"/>
  <c r="L52" i="58"/>
  <c r="N52" i="58" s="1"/>
  <c r="F52" i="58"/>
  <c r="B52" i="58"/>
  <c r="T51" i="58"/>
  <c r="R51" i="58"/>
  <c r="P51" i="58"/>
  <c r="H51" i="58"/>
  <c r="D51" i="58"/>
  <c r="L51" i="58" s="1"/>
  <c r="N51" i="58" s="1"/>
  <c r="B51" i="58"/>
  <c r="Z50" i="58"/>
  <c r="X50" i="58"/>
  <c r="N50" i="58"/>
  <c r="L50" i="58"/>
  <c r="J50" i="58"/>
  <c r="F50" i="58"/>
  <c r="B50" i="58"/>
  <c r="Z49" i="58"/>
  <c r="T49" i="58"/>
  <c r="P49" i="58"/>
  <c r="X49" i="58" s="1"/>
  <c r="N49" i="58"/>
  <c r="J49" i="58"/>
  <c r="H49" i="58"/>
  <c r="D49" i="58"/>
  <c r="L49" i="58" s="1"/>
  <c r="B49" i="58"/>
  <c r="X48" i="58"/>
  <c r="Z48" i="58" s="1"/>
  <c r="N48" i="58"/>
  <c r="L48" i="58"/>
  <c r="B48" i="58"/>
  <c r="V47" i="58"/>
  <c r="T47" i="58"/>
  <c r="P47" i="58"/>
  <c r="X47" i="58" s="1"/>
  <c r="Z47" i="58" s="1"/>
  <c r="L47" i="58"/>
  <c r="N47" i="58" s="1"/>
  <c r="J47" i="58"/>
  <c r="H47" i="58"/>
  <c r="F47" i="58"/>
  <c r="D47" i="58"/>
  <c r="B47" i="58"/>
  <c r="X46" i="58"/>
  <c r="Z46" i="58" s="1"/>
  <c r="L46" i="58"/>
  <c r="N46" i="58" s="1"/>
  <c r="B46" i="58"/>
  <c r="X45" i="58"/>
  <c r="Z45" i="58" s="1"/>
  <c r="T45" i="58"/>
  <c r="P45" i="58"/>
  <c r="H45" i="58"/>
  <c r="F45" i="58"/>
  <c r="D45" i="58"/>
  <c r="B45" i="58"/>
  <c r="Z44" i="58"/>
  <c r="X44" i="58"/>
  <c r="L44" i="58"/>
  <c r="N44" i="58" s="1"/>
  <c r="F44" i="58"/>
  <c r="B44" i="58"/>
  <c r="T43" i="58"/>
  <c r="P43" i="58"/>
  <c r="N43" i="58"/>
  <c r="H43" i="58"/>
  <c r="D43" i="58"/>
  <c r="L43" i="58" s="1"/>
  <c r="B43" i="58"/>
  <c r="X42" i="58"/>
  <c r="Z42" i="58" s="1"/>
  <c r="N42" i="58"/>
  <c r="L42" i="58"/>
  <c r="J42" i="58"/>
  <c r="F42" i="58"/>
  <c r="B42" i="58"/>
  <c r="T41" i="58"/>
  <c r="P41" i="58"/>
  <c r="X41" i="58" s="1"/>
  <c r="Z41" i="58" s="1"/>
  <c r="J41" i="58"/>
  <c r="H41" i="58"/>
  <c r="D41" i="58"/>
  <c r="L41" i="58" s="1"/>
  <c r="N41" i="58" s="1"/>
  <c r="B41" i="58"/>
  <c r="Z40" i="58"/>
  <c r="X40" i="58"/>
  <c r="R40" i="58"/>
  <c r="N40" i="58"/>
  <c r="L40" i="58"/>
  <c r="B40" i="58"/>
  <c r="Z39" i="58"/>
  <c r="X39" i="58"/>
  <c r="N39" i="58"/>
  <c r="L39" i="58"/>
  <c r="F39" i="58"/>
  <c r="B39" i="58"/>
  <c r="Z38" i="58"/>
  <c r="X38" i="58"/>
  <c r="N38" i="58"/>
  <c r="L38" i="58"/>
  <c r="J38" i="58"/>
  <c r="F38" i="58"/>
  <c r="B38" i="58"/>
  <c r="Z37" i="58"/>
  <c r="X37" i="58"/>
  <c r="N37" i="58"/>
  <c r="L37" i="58"/>
  <c r="J37" i="58"/>
  <c r="B37" i="58"/>
  <c r="Z36" i="58"/>
  <c r="X36" i="58"/>
  <c r="N36" i="58"/>
  <c r="L36" i="58"/>
  <c r="F36" i="58"/>
  <c r="B36" i="58"/>
  <c r="X35" i="58"/>
  <c r="Z35" i="58" s="1"/>
  <c r="R35" i="58"/>
  <c r="N35" i="58"/>
  <c r="L35" i="58"/>
  <c r="J35" i="58"/>
  <c r="F35" i="58"/>
  <c r="B35" i="58"/>
  <c r="Z34" i="58"/>
  <c r="X34" i="58"/>
  <c r="R34" i="58"/>
  <c r="L34" i="58"/>
  <c r="N34" i="58" s="1"/>
  <c r="B34" i="58"/>
  <c r="Z33" i="58"/>
  <c r="X33" i="58"/>
  <c r="N33" i="58"/>
  <c r="L33" i="58"/>
  <c r="B33" i="58"/>
  <c r="Z32" i="58"/>
  <c r="X32" i="58"/>
  <c r="N32" i="58"/>
  <c r="L32" i="58"/>
  <c r="B32" i="58"/>
  <c r="Z31" i="58"/>
  <c r="X31" i="58"/>
  <c r="L31" i="58"/>
  <c r="N31" i="58" s="1"/>
  <c r="F31" i="58"/>
  <c r="B31" i="58"/>
  <c r="X30" i="58"/>
  <c r="Z30" i="58" s="1"/>
  <c r="T30" i="58"/>
  <c r="P30" i="58"/>
  <c r="H30" i="58"/>
  <c r="L30" i="58" s="1"/>
  <c r="N30" i="58" s="1"/>
  <c r="F30" i="58"/>
  <c r="D30" i="58"/>
  <c r="B30" i="58"/>
  <c r="X29" i="58"/>
  <c r="Z29" i="58" s="1"/>
  <c r="N29" i="58"/>
  <c r="L29" i="58"/>
  <c r="B29" i="58"/>
  <c r="X28" i="58"/>
  <c r="Z28" i="58" s="1"/>
  <c r="N28" i="58"/>
  <c r="L28" i="58"/>
  <c r="B28" i="58"/>
  <c r="Z27" i="58"/>
  <c r="X27" i="58"/>
  <c r="L27" i="58"/>
  <c r="N27" i="58" s="1"/>
  <c r="F27" i="58"/>
  <c r="B27" i="58"/>
  <c r="Z26" i="58"/>
  <c r="X26" i="58"/>
  <c r="N26" i="58"/>
  <c r="L26" i="58"/>
  <c r="J26" i="58"/>
  <c r="F26" i="58"/>
  <c r="B26" i="58"/>
  <c r="Z25" i="58"/>
  <c r="X25" i="58"/>
  <c r="L25" i="58"/>
  <c r="N25" i="58" s="1"/>
  <c r="J25" i="58"/>
  <c r="B25" i="58"/>
  <c r="Z24" i="58"/>
  <c r="X24" i="58"/>
  <c r="L24" i="58"/>
  <c r="N24" i="58" s="1"/>
  <c r="F24" i="58"/>
  <c r="B24" i="58"/>
  <c r="X23" i="58"/>
  <c r="Z23" i="58" s="1"/>
  <c r="R23" i="58"/>
  <c r="N23" i="58"/>
  <c r="L23" i="58"/>
  <c r="J23" i="58"/>
  <c r="F23" i="58"/>
  <c r="B23" i="58"/>
  <c r="Z22" i="58"/>
  <c r="X22" i="58"/>
  <c r="L22" i="58"/>
  <c r="N22" i="58" s="1"/>
  <c r="B22" i="58"/>
  <c r="X21" i="58"/>
  <c r="Z21" i="58" s="1"/>
  <c r="N21" i="58"/>
  <c r="L21" i="58"/>
  <c r="B21" i="58"/>
  <c r="X20" i="58"/>
  <c r="Z20" i="58" s="1"/>
  <c r="N20" i="58"/>
  <c r="L20" i="58"/>
  <c r="B20" i="58"/>
  <c r="T19" i="58"/>
  <c r="P19" i="58"/>
  <c r="X19" i="58" s="1"/>
  <c r="Z19" i="58" s="1"/>
  <c r="L19" i="58"/>
  <c r="N19" i="58" s="1"/>
  <c r="J19" i="58"/>
  <c r="H19" i="58"/>
  <c r="F19" i="58"/>
  <c r="D19" i="58"/>
  <c r="B19" i="58"/>
  <c r="T18" i="58" a="1"/>
  <c r="T18" i="58" s="1"/>
  <c r="P18" i="58" a="1"/>
  <c r="P18" i="58" s="1"/>
  <c r="J18" i="58"/>
  <c r="H18" i="58" a="1"/>
  <c r="H18" i="58" s="1"/>
  <c r="F18" i="58"/>
  <c r="D18" i="58" a="1"/>
  <c r="D18" i="58" s="1"/>
  <c r="T16" i="58"/>
  <c r="F16" i="58"/>
  <c r="D16" i="58"/>
  <c r="X14" i="58"/>
  <c r="T14" i="58"/>
  <c r="Z14" i="58" s="1"/>
  <c r="P14" i="58"/>
  <c r="L14" i="58"/>
  <c r="H14" i="58"/>
  <c r="N14" i="58" s="1"/>
  <c r="F14" i="58"/>
  <c r="D14" i="58"/>
  <c r="T12" i="58"/>
  <c r="V71" i="58" s="1"/>
  <c r="P12" i="58"/>
  <c r="R43" i="58" s="1"/>
  <c r="L12" i="58"/>
  <c r="H12" i="58"/>
  <c r="J72" i="58" s="1"/>
  <c r="D12" i="58"/>
  <c r="F70" i="58" s="1"/>
  <c r="D6" i="58"/>
  <c r="D4" i="58"/>
  <c r="Z70" i="57"/>
  <c r="X70" i="57"/>
  <c r="N70" i="57"/>
  <c r="L70" i="57"/>
  <c r="R68" i="57"/>
  <c r="Z66" i="57"/>
  <c r="T66" i="57"/>
  <c r="P66" i="57"/>
  <c r="X66" i="57" s="1"/>
  <c r="L66" i="57"/>
  <c r="H66" i="57"/>
  <c r="N66" i="57" s="1"/>
  <c r="D66" i="57"/>
  <c r="Z64" i="57"/>
  <c r="X64" i="57"/>
  <c r="N64" i="57"/>
  <c r="L64" i="57"/>
  <c r="B64" i="57"/>
  <c r="T63" i="57"/>
  <c r="Z63" i="57" s="1"/>
  <c r="P63" i="57"/>
  <c r="L63" i="57"/>
  <c r="H63" i="57"/>
  <c r="N63" i="57" s="1"/>
  <c r="D63" i="57"/>
  <c r="B63" i="57"/>
  <c r="Z62" i="57"/>
  <c r="X62" i="57"/>
  <c r="N62" i="57"/>
  <c r="L62" i="57"/>
  <c r="B62" i="57"/>
  <c r="X61" i="57"/>
  <c r="T61" i="57"/>
  <c r="P61" i="57"/>
  <c r="H61" i="57"/>
  <c r="N61" i="57" s="1"/>
  <c r="D61" i="57"/>
  <c r="B61" i="57"/>
  <c r="Z60" i="57"/>
  <c r="X60" i="57"/>
  <c r="L60" i="57"/>
  <c r="N60" i="57" s="1"/>
  <c r="B60" i="57"/>
  <c r="T59" i="57"/>
  <c r="R59" i="57"/>
  <c r="P59" i="57"/>
  <c r="X59" i="57" s="1"/>
  <c r="N59" i="57"/>
  <c r="L59" i="57"/>
  <c r="H59" i="57"/>
  <c r="D59" i="57"/>
  <c r="B59" i="57"/>
  <c r="X58" i="57"/>
  <c r="Z58" i="57" s="1"/>
  <c r="V58" i="57"/>
  <c r="N58" i="57"/>
  <c r="L58" i="57"/>
  <c r="F58" i="57"/>
  <c r="B58" i="57"/>
  <c r="Z57" i="57"/>
  <c r="X57" i="57"/>
  <c r="N57" i="57"/>
  <c r="L57" i="57"/>
  <c r="B57" i="57"/>
  <c r="Z56" i="57"/>
  <c r="T56" i="57"/>
  <c r="P56" i="57"/>
  <c r="X56" i="57" s="1"/>
  <c r="L56" i="57"/>
  <c r="N56" i="57" s="1"/>
  <c r="H56" i="57"/>
  <c r="D56" i="57"/>
  <c r="B56" i="57"/>
  <c r="Z55" i="57"/>
  <c r="X55" i="57"/>
  <c r="R55" i="57"/>
  <c r="N55" i="57"/>
  <c r="L55" i="57"/>
  <c r="B55" i="57"/>
  <c r="X54" i="57"/>
  <c r="Z54" i="57" s="1"/>
  <c r="T54" i="57"/>
  <c r="P54" i="57"/>
  <c r="L54" i="57"/>
  <c r="H54" i="57"/>
  <c r="N54" i="57" s="1"/>
  <c r="F54" i="57"/>
  <c r="D54" i="57"/>
  <c r="B54" i="57"/>
  <c r="X53" i="57"/>
  <c r="Z53" i="57" s="1"/>
  <c r="V53" i="57"/>
  <c r="L53" i="57"/>
  <c r="N53" i="57" s="1"/>
  <c r="B53" i="57"/>
  <c r="Z52" i="57"/>
  <c r="X52" i="57"/>
  <c r="N52" i="57"/>
  <c r="L52" i="57"/>
  <c r="B52" i="57"/>
  <c r="Z51" i="57"/>
  <c r="X51" i="57"/>
  <c r="V51" i="57"/>
  <c r="N51" i="57"/>
  <c r="L51" i="57"/>
  <c r="F51" i="57"/>
  <c r="B51" i="57"/>
  <c r="X50" i="57"/>
  <c r="T50" i="57"/>
  <c r="Z50" i="57" s="1"/>
  <c r="P50" i="57"/>
  <c r="H50" i="57"/>
  <c r="D50" i="57"/>
  <c r="B50" i="57"/>
  <c r="X49" i="57"/>
  <c r="Z49" i="57" s="1"/>
  <c r="N49" i="57"/>
  <c r="L49" i="57"/>
  <c r="B49" i="57"/>
  <c r="X48" i="57"/>
  <c r="T48" i="57"/>
  <c r="Z48" i="57" s="1"/>
  <c r="R48" i="57"/>
  <c r="P48" i="57"/>
  <c r="H48" i="57"/>
  <c r="D48" i="57"/>
  <c r="L48" i="57" s="1"/>
  <c r="B48" i="57"/>
  <c r="Z47" i="57"/>
  <c r="X47" i="57"/>
  <c r="R47" i="57"/>
  <c r="N47" i="57"/>
  <c r="L47" i="57"/>
  <c r="F47" i="57"/>
  <c r="B47" i="57"/>
  <c r="T46" i="57"/>
  <c r="P46" i="57"/>
  <c r="X46" i="57" s="1"/>
  <c r="H46" i="57"/>
  <c r="D46" i="57"/>
  <c r="L46" i="57" s="1"/>
  <c r="N46" i="57" s="1"/>
  <c r="B46" i="57"/>
  <c r="X45" i="57"/>
  <c r="Z45" i="57" s="1"/>
  <c r="L45" i="57"/>
  <c r="N45" i="57" s="1"/>
  <c r="B45" i="57"/>
  <c r="T44" i="57"/>
  <c r="P44" i="57"/>
  <c r="X44" i="57" s="1"/>
  <c r="Z44" i="57" s="1"/>
  <c r="L44" i="57"/>
  <c r="H44" i="57"/>
  <c r="D44" i="57"/>
  <c r="B44" i="57"/>
  <c r="Z43" i="57"/>
  <c r="X43" i="57"/>
  <c r="N43" i="57"/>
  <c r="L43" i="57"/>
  <c r="B43" i="57"/>
  <c r="X42" i="57"/>
  <c r="T42" i="57"/>
  <c r="Z42" i="57" s="1"/>
  <c r="P42" i="57"/>
  <c r="N42" i="57"/>
  <c r="H42" i="57"/>
  <c r="L42" i="57" s="1"/>
  <c r="D42" i="57"/>
  <c r="B42" i="57"/>
  <c r="X41" i="57"/>
  <c r="Z41" i="57" s="1"/>
  <c r="N41" i="57"/>
  <c r="L41" i="57"/>
  <c r="B41" i="57"/>
  <c r="X40" i="57"/>
  <c r="T40" i="57"/>
  <c r="P40" i="57"/>
  <c r="H40" i="57"/>
  <c r="N40" i="57" s="1"/>
  <c r="D40" i="57"/>
  <c r="L40" i="57" s="1"/>
  <c r="B40" i="57"/>
  <c r="Z39" i="57"/>
  <c r="X39" i="57"/>
  <c r="N39" i="57"/>
  <c r="L39" i="57"/>
  <c r="B39" i="57"/>
  <c r="Z38" i="57"/>
  <c r="X38" i="57"/>
  <c r="N38" i="57"/>
  <c r="L38" i="57"/>
  <c r="B38" i="57"/>
  <c r="X37" i="57"/>
  <c r="Z37" i="57" s="1"/>
  <c r="N37" i="57"/>
  <c r="L37" i="57"/>
  <c r="B37" i="57"/>
  <c r="X36" i="57"/>
  <c r="Z36" i="57" s="1"/>
  <c r="N36" i="57"/>
  <c r="L36" i="57"/>
  <c r="B36" i="57"/>
  <c r="Z35" i="57"/>
  <c r="X35" i="57"/>
  <c r="N35" i="57"/>
  <c r="L35" i="57"/>
  <c r="B35" i="57"/>
  <c r="Z34" i="57"/>
  <c r="X34" i="57"/>
  <c r="N34" i="57"/>
  <c r="L34" i="57"/>
  <c r="J34" i="57"/>
  <c r="B34" i="57"/>
  <c r="Z33" i="57"/>
  <c r="X33" i="57"/>
  <c r="N33" i="57"/>
  <c r="L33" i="57"/>
  <c r="B33" i="57"/>
  <c r="Z32" i="57"/>
  <c r="X32" i="57"/>
  <c r="N32" i="57"/>
  <c r="L32" i="57"/>
  <c r="B32" i="57"/>
  <c r="Z31" i="57"/>
  <c r="X31" i="57"/>
  <c r="N31" i="57"/>
  <c r="L31" i="57"/>
  <c r="J31" i="57"/>
  <c r="B31" i="57"/>
  <c r="X30" i="57"/>
  <c r="Z30" i="57" s="1"/>
  <c r="V30" i="57"/>
  <c r="L30" i="57"/>
  <c r="N30" i="57" s="1"/>
  <c r="B30" i="57"/>
  <c r="X29" i="57"/>
  <c r="Z29" i="57" s="1"/>
  <c r="T29" i="57"/>
  <c r="R29" i="57"/>
  <c r="P29" i="57"/>
  <c r="H29" i="57"/>
  <c r="F29" i="57"/>
  <c r="D29" i="57"/>
  <c r="L29" i="57" s="1"/>
  <c r="B29" i="57"/>
  <c r="Z28" i="57"/>
  <c r="X28" i="57"/>
  <c r="N28" i="57"/>
  <c r="L28" i="57"/>
  <c r="F28" i="57"/>
  <c r="B28" i="57"/>
  <c r="Z27" i="57"/>
  <c r="X27" i="57"/>
  <c r="N27" i="57"/>
  <c r="L27" i="57"/>
  <c r="F27" i="57"/>
  <c r="B27" i="57"/>
  <c r="X26" i="57"/>
  <c r="Z26" i="57" s="1"/>
  <c r="L26" i="57"/>
  <c r="N26" i="57" s="1"/>
  <c r="B26" i="57"/>
  <c r="Z25" i="57"/>
  <c r="X25" i="57"/>
  <c r="V25" i="57"/>
  <c r="N25" i="57"/>
  <c r="L25" i="57"/>
  <c r="B25" i="57"/>
  <c r="Z24" i="57"/>
  <c r="X24" i="57"/>
  <c r="N24" i="57"/>
  <c r="L24" i="57"/>
  <c r="B24" i="57"/>
  <c r="Z23" i="57"/>
  <c r="X23" i="57"/>
  <c r="V23" i="57"/>
  <c r="L23" i="57"/>
  <c r="N23" i="57" s="1"/>
  <c r="F23" i="57"/>
  <c r="B23" i="57"/>
  <c r="X22" i="57"/>
  <c r="Z22" i="57" s="1"/>
  <c r="N22" i="57"/>
  <c r="L22" i="57"/>
  <c r="F22" i="57"/>
  <c r="B22" i="57"/>
  <c r="Z21" i="57"/>
  <c r="X21" i="57"/>
  <c r="L21" i="57"/>
  <c r="N21" i="57" s="1"/>
  <c r="B21" i="57"/>
  <c r="Z20" i="57"/>
  <c r="X20" i="57"/>
  <c r="L20" i="57"/>
  <c r="N20" i="57" s="1"/>
  <c r="F20" i="57"/>
  <c r="B20" i="57"/>
  <c r="T19" i="57"/>
  <c r="R19" i="57"/>
  <c r="P19" i="57"/>
  <c r="N19" i="57"/>
  <c r="L19" i="57"/>
  <c r="H19" i="57"/>
  <c r="D19" i="57"/>
  <c r="B19" i="57"/>
  <c r="V18" i="57"/>
  <c r="T18" i="57" a="1"/>
  <c r="T18" i="57" s="1"/>
  <c r="P18" i="57" a="1"/>
  <c r="P18" i="57" s="1"/>
  <c r="X18" i="57" s="1"/>
  <c r="L18" i="57"/>
  <c r="H18" i="57" a="1"/>
  <c r="H18" i="57" s="1"/>
  <c r="D18" i="57" a="1"/>
  <c r="D18" i="57"/>
  <c r="V16" i="57"/>
  <c r="R16" i="57"/>
  <c r="F16" i="57"/>
  <c r="V14" i="57"/>
  <c r="T14" i="57"/>
  <c r="P14" i="57"/>
  <c r="N14" i="57"/>
  <c r="H14" i="57"/>
  <c r="F14" i="57"/>
  <c r="D14" i="57"/>
  <c r="L14" i="57" s="1"/>
  <c r="X12" i="57"/>
  <c r="T12" i="57"/>
  <c r="V54" i="57" s="1"/>
  <c r="P12" i="57"/>
  <c r="R36" i="57" s="1"/>
  <c r="H12" i="57"/>
  <c r="J14" i="57" s="1"/>
  <c r="D12" i="57"/>
  <c r="F55" i="57" s="1"/>
  <c r="D6" i="57"/>
  <c r="D4" i="57"/>
  <c r="J82" i="56"/>
  <c r="R79" i="56"/>
  <c r="J79" i="56"/>
  <c r="Z77" i="56"/>
  <c r="X77" i="56"/>
  <c r="N77" i="56"/>
  <c r="L77" i="56"/>
  <c r="R75" i="56"/>
  <c r="J75" i="56"/>
  <c r="Z73" i="56"/>
  <c r="T73" i="56"/>
  <c r="P73" i="56"/>
  <c r="X73" i="56" s="1"/>
  <c r="N73" i="56"/>
  <c r="J73" i="56"/>
  <c r="H73" i="56"/>
  <c r="D73" i="56"/>
  <c r="L73" i="56" s="1"/>
  <c r="Z71" i="56"/>
  <c r="X71" i="56"/>
  <c r="N71" i="56"/>
  <c r="L71" i="56"/>
  <c r="B71" i="56"/>
  <c r="T70" i="56"/>
  <c r="P70" i="56"/>
  <c r="L70" i="56"/>
  <c r="H70" i="56"/>
  <c r="N70" i="56" s="1"/>
  <c r="D70" i="56"/>
  <c r="B70" i="56"/>
  <c r="Z69" i="56"/>
  <c r="X69" i="56"/>
  <c r="V69" i="56"/>
  <c r="N69" i="56"/>
  <c r="L69" i="56"/>
  <c r="J69" i="56"/>
  <c r="B69" i="56"/>
  <c r="T68" i="56"/>
  <c r="P68" i="56"/>
  <c r="X68" i="56" s="1"/>
  <c r="H68" i="56"/>
  <c r="D68" i="56"/>
  <c r="B68" i="56"/>
  <c r="Z67" i="56"/>
  <c r="X67" i="56"/>
  <c r="N67" i="56"/>
  <c r="L67" i="56"/>
  <c r="B67" i="56"/>
  <c r="T66" i="56"/>
  <c r="P66" i="56"/>
  <c r="L66" i="56"/>
  <c r="H66" i="56"/>
  <c r="D66" i="56"/>
  <c r="B66" i="56"/>
  <c r="Z65" i="56"/>
  <c r="X65" i="56"/>
  <c r="V65" i="56"/>
  <c r="N65" i="56"/>
  <c r="L65" i="56"/>
  <c r="J65" i="56"/>
  <c r="B65" i="56"/>
  <c r="X64" i="56"/>
  <c r="Z64" i="56" s="1"/>
  <c r="L64" i="56"/>
  <c r="N64" i="56" s="1"/>
  <c r="B64" i="56"/>
  <c r="Z63" i="56"/>
  <c r="T63" i="56"/>
  <c r="R63" i="56"/>
  <c r="P63" i="56"/>
  <c r="X63" i="56" s="1"/>
  <c r="J63" i="56"/>
  <c r="H63" i="56"/>
  <c r="D63" i="56"/>
  <c r="L63" i="56" s="1"/>
  <c r="N63" i="56" s="1"/>
  <c r="B63" i="56"/>
  <c r="X62" i="56"/>
  <c r="Z62" i="56" s="1"/>
  <c r="R62" i="56"/>
  <c r="L62" i="56"/>
  <c r="N62" i="56" s="1"/>
  <c r="B62" i="56"/>
  <c r="V61" i="56"/>
  <c r="T61" i="56"/>
  <c r="P61" i="56"/>
  <c r="X61" i="56" s="1"/>
  <c r="Z61" i="56" s="1"/>
  <c r="N61" i="56"/>
  <c r="H61" i="56"/>
  <c r="D61" i="56"/>
  <c r="L61" i="56" s="1"/>
  <c r="B61" i="56"/>
  <c r="Z60" i="56"/>
  <c r="X60" i="56"/>
  <c r="N60" i="56"/>
  <c r="L60" i="56"/>
  <c r="B60" i="56"/>
  <c r="Z59" i="56"/>
  <c r="X59" i="56"/>
  <c r="N59" i="56"/>
  <c r="L59" i="56"/>
  <c r="B59" i="56"/>
  <c r="T58" i="56"/>
  <c r="P58" i="56"/>
  <c r="X58" i="56" s="1"/>
  <c r="L58" i="56"/>
  <c r="H58" i="56"/>
  <c r="N58" i="56" s="1"/>
  <c r="D58" i="56"/>
  <c r="B58" i="56"/>
  <c r="Z57" i="56"/>
  <c r="X57" i="56"/>
  <c r="V57" i="56"/>
  <c r="N57" i="56"/>
  <c r="L57" i="56"/>
  <c r="J57" i="56"/>
  <c r="B57" i="56"/>
  <c r="X56" i="56"/>
  <c r="Z56" i="56" s="1"/>
  <c r="L56" i="56"/>
  <c r="N56" i="56" s="1"/>
  <c r="B56" i="56"/>
  <c r="Z55" i="56"/>
  <c r="X55" i="56"/>
  <c r="N55" i="56"/>
  <c r="L55" i="56"/>
  <c r="B55" i="56"/>
  <c r="T54" i="56"/>
  <c r="P54" i="56"/>
  <c r="H54" i="56"/>
  <c r="D54" i="56"/>
  <c r="L54" i="56" s="1"/>
  <c r="B54" i="56"/>
  <c r="Z53" i="56"/>
  <c r="X53" i="56"/>
  <c r="V53" i="56"/>
  <c r="N53" i="56"/>
  <c r="L53" i="56"/>
  <c r="J53" i="56"/>
  <c r="B53" i="56"/>
  <c r="X52" i="56"/>
  <c r="T52" i="56"/>
  <c r="Z52" i="56" s="1"/>
  <c r="P52" i="56"/>
  <c r="H52" i="56"/>
  <c r="D52" i="56"/>
  <c r="B52" i="56"/>
  <c r="Z51" i="56"/>
  <c r="X51" i="56"/>
  <c r="N51" i="56"/>
  <c r="L51" i="56"/>
  <c r="B51" i="56"/>
  <c r="T50" i="56"/>
  <c r="P50" i="56"/>
  <c r="H50" i="56"/>
  <c r="D50" i="56"/>
  <c r="L50" i="56" s="1"/>
  <c r="B50" i="56"/>
  <c r="Z49" i="56"/>
  <c r="X49" i="56"/>
  <c r="V49" i="56"/>
  <c r="N49" i="56"/>
  <c r="L49" i="56"/>
  <c r="J49" i="56"/>
  <c r="B49" i="56"/>
  <c r="X48" i="56"/>
  <c r="T48" i="56"/>
  <c r="Z48" i="56" s="1"/>
  <c r="P48" i="56"/>
  <c r="H48" i="56"/>
  <c r="D48" i="56"/>
  <c r="B48" i="56"/>
  <c r="Z47" i="56"/>
  <c r="X47" i="56"/>
  <c r="N47" i="56"/>
  <c r="L47" i="56"/>
  <c r="B47" i="56"/>
  <c r="T46" i="56"/>
  <c r="P46" i="56"/>
  <c r="H46" i="56"/>
  <c r="N46" i="56" s="1"/>
  <c r="D46" i="56"/>
  <c r="L46" i="56" s="1"/>
  <c r="B46" i="56"/>
  <c r="Z45" i="56"/>
  <c r="X45" i="56"/>
  <c r="V45" i="56"/>
  <c r="N45" i="56"/>
  <c r="L45" i="56"/>
  <c r="J45" i="56"/>
  <c r="B45" i="56"/>
  <c r="X44" i="56"/>
  <c r="T44" i="56"/>
  <c r="Z44" i="56" s="1"/>
  <c r="P44" i="56"/>
  <c r="H44" i="56"/>
  <c r="D44" i="56"/>
  <c r="B44" i="56"/>
  <c r="Z43" i="56"/>
  <c r="X43" i="56"/>
  <c r="N43" i="56"/>
  <c r="L43" i="56"/>
  <c r="B43" i="56"/>
  <c r="T42" i="56"/>
  <c r="P42" i="56"/>
  <c r="H42" i="56"/>
  <c r="D42" i="56"/>
  <c r="L42" i="56" s="1"/>
  <c r="B42" i="56"/>
  <c r="Z41" i="56"/>
  <c r="X41" i="56"/>
  <c r="V41" i="56"/>
  <c r="N41" i="56"/>
  <c r="L41" i="56"/>
  <c r="J41" i="56"/>
  <c r="B41" i="56"/>
  <c r="X40" i="56"/>
  <c r="T40" i="56"/>
  <c r="Z40" i="56" s="1"/>
  <c r="P40" i="56"/>
  <c r="H40" i="56"/>
  <c r="D40" i="56"/>
  <c r="B40" i="56"/>
  <c r="Z39" i="56"/>
  <c r="X39" i="56"/>
  <c r="N39" i="56"/>
  <c r="L39" i="56"/>
  <c r="B39" i="56"/>
  <c r="Z38" i="56"/>
  <c r="X38" i="56"/>
  <c r="R38" i="56"/>
  <c r="N38" i="56"/>
  <c r="L38" i="56"/>
  <c r="B38" i="56"/>
  <c r="Z37" i="56"/>
  <c r="X37" i="56"/>
  <c r="V37" i="56"/>
  <c r="N37" i="56"/>
  <c r="L37" i="56"/>
  <c r="J37" i="56"/>
  <c r="B37" i="56"/>
  <c r="Z36" i="56"/>
  <c r="X36" i="56"/>
  <c r="N36" i="56"/>
  <c r="L36" i="56"/>
  <c r="B36" i="56"/>
  <c r="Z35" i="56"/>
  <c r="X35" i="56"/>
  <c r="N35" i="56"/>
  <c r="L35" i="56"/>
  <c r="B35" i="56"/>
  <c r="Z34" i="56"/>
  <c r="X34" i="56"/>
  <c r="R34" i="56"/>
  <c r="N34" i="56"/>
  <c r="L34" i="56"/>
  <c r="B34" i="56"/>
  <c r="Z33" i="56"/>
  <c r="X33" i="56"/>
  <c r="V33" i="56"/>
  <c r="N33" i="56"/>
  <c r="L33" i="56"/>
  <c r="J33" i="56"/>
  <c r="B33" i="56"/>
  <c r="Z32" i="56"/>
  <c r="X32" i="56"/>
  <c r="N32" i="56"/>
  <c r="L32" i="56"/>
  <c r="B32" i="56"/>
  <c r="Z31" i="56"/>
  <c r="X31" i="56"/>
  <c r="N31" i="56"/>
  <c r="L31" i="56"/>
  <c r="B31" i="56"/>
  <c r="X30" i="56"/>
  <c r="Z30" i="56" s="1"/>
  <c r="L30" i="56"/>
  <c r="N30" i="56" s="1"/>
  <c r="B30" i="56"/>
  <c r="V29" i="56"/>
  <c r="T29" i="56"/>
  <c r="P29" i="56"/>
  <c r="X29" i="56" s="1"/>
  <c r="Z29" i="56" s="1"/>
  <c r="N29" i="56"/>
  <c r="H29" i="56"/>
  <c r="D29" i="56"/>
  <c r="L29" i="56" s="1"/>
  <c r="B29" i="56"/>
  <c r="X28" i="56"/>
  <c r="Z28" i="56" s="1"/>
  <c r="L28" i="56"/>
  <c r="N28" i="56" s="1"/>
  <c r="B28" i="56"/>
  <c r="Z27" i="56"/>
  <c r="X27" i="56"/>
  <c r="N27" i="56"/>
  <c r="L27" i="56"/>
  <c r="B27" i="56"/>
  <c r="X26" i="56"/>
  <c r="Z26" i="56" s="1"/>
  <c r="R26" i="56"/>
  <c r="L26" i="56"/>
  <c r="N26" i="56" s="1"/>
  <c r="B26" i="56"/>
  <c r="Z25" i="56"/>
  <c r="X25" i="56"/>
  <c r="V25" i="56"/>
  <c r="N25" i="56"/>
  <c r="L25" i="56"/>
  <c r="J25" i="56"/>
  <c r="B25" i="56"/>
  <c r="X24" i="56"/>
  <c r="Z24" i="56" s="1"/>
  <c r="L24" i="56"/>
  <c r="N24" i="56" s="1"/>
  <c r="B24" i="56"/>
  <c r="Z23" i="56"/>
  <c r="X23" i="56"/>
  <c r="N23" i="56"/>
  <c r="L23" i="56"/>
  <c r="B23" i="56"/>
  <c r="X22" i="56"/>
  <c r="Z22" i="56" s="1"/>
  <c r="R22" i="56"/>
  <c r="L22" i="56"/>
  <c r="N22" i="56" s="1"/>
  <c r="F22" i="56"/>
  <c r="B22" i="56"/>
  <c r="Z21" i="56"/>
  <c r="X21" i="56"/>
  <c r="V21" i="56"/>
  <c r="N21" i="56"/>
  <c r="L21" i="56"/>
  <c r="J21" i="56"/>
  <c r="B21" i="56"/>
  <c r="X20" i="56"/>
  <c r="Z20" i="56" s="1"/>
  <c r="L20" i="56"/>
  <c r="N20" i="56" s="1"/>
  <c r="B20" i="56"/>
  <c r="Z19" i="56"/>
  <c r="T19" i="56"/>
  <c r="R19" i="56"/>
  <c r="P19" i="56"/>
  <c r="X19" i="56" s="1"/>
  <c r="J19" i="56"/>
  <c r="H19" i="56"/>
  <c r="D19" i="56"/>
  <c r="L19" i="56" s="1"/>
  <c r="N19" i="56" s="1"/>
  <c r="B19" i="56"/>
  <c r="T18" i="56" a="1"/>
  <c r="T18" i="56" s="1"/>
  <c r="P18" i="56" a="1"/>
  <c r="P18" i="56"/>
  <c r="H18" i="56" a="1"/>
  <c r="H18" i="56" s="1"/>
  <c r="D18" i="56" a="1"/>
  <c r="D18" i="56"/>
  <c r="T16" i="56"/>
  <c r="D16" i="56"/>
  <c r="D75" i="56" s="1"/>
  <c r="V14" i="56"/>
  <c r="T14" i="56"/>
  <c r="Z14" i="56" s="1"/>
  <c r="P14" i="56"/>
  <c r="X14" i="56" s="1"/>
  <c r="L14" i="56"/>
  <c r="H14" i="56"/>
  <c r="N14" i="56" s="1"/>
  <c r="D14" i="56"/>
  <c r="Z12" i="56"/>
  <c r="T12" i="56"/>
  <c r="V64" i="56" s="1"/>
  <c r="P12" i="56"/>
  <c r="R82" i="56" s="1"/>
  <c r="H12" i="56"/>
  <c r="J66" i="56" s="1"/>
  <c r="D12" i="56"/>
  <c r="D6" i="56"/>
  <c r="D4" i="56"/>
  <c r="Z33" i="55"/>
  <c r="X33" i="55"/>
  <c r="N33" i="55"/>
  <c r="L33" i="55"/>
  <c r="Z29" i="55"/>
  <c r="X29" i="55"/>
  <c r="T29" i="55"/>
  <c r="P29" i="55"/>
  <c r="H29" i="55"/>
  <c r="N29" i="55" s="1"/>
  <c r="D29" i="55"/>
  <c r="L29" i="55" s="1"/>
  <c r="X27" i="55"/>
  <c r="Z27" i="55" s="1"/>
  <c r="N27" i="55"/>
  <c r="L27" i="55"/>
  <c r="B27" i="55"/>
  <c r="Z26" i="55"/>
  <c r="X26" i="55"/>
  <c r="N26" i="55"/>
  <c r="L26" i="55"/>
  <c r="B26" i="55"/>
  <c r="T25" i="55"/>
  <c r="P25" i="55"/>
  <c r="X25" i="55" s="1"/>
  <c r="N25" i="55"/>
  <c r="H25" i="55"/>
  <c r="D25" i="55"/>
  <c r="L25" i="55" s="1"/>
  <c r="B25" i="55"/>
  <c r="Z24" i="55"/>
  <c r="X24" i="55"/>
  <c r="V24" i="55"/>
  <c r="L24" i="55"/>
  <c r="N24" i="55" s="1"/>
  <c r="J24" i="55"/>
  <c r="B24" i="55"/>
  <c r="X23" i="55"/>
  <c r="T23" i="55"/>
  <c r="Z23" i="55" s="1"/>
  <c r="P23" i="55"/>
  <c r="H23" i="55"/>
  <c r="D23" i="55"/>
  <c r="B23" i="55"/>
  <c r="Z22" i="55"/>
  <c r="X22" i="55"/>
  <c r="N22" i="55"/>
  <c r="L22" i="55"/>
  <c r="B22" i="55"/>
  <c r="T21" i="55"/>
  <c r="P21" i="55"/>
  <c r="L21" i="55"/>
  <c r="N21" i="55" s="1"/>
  <c r="H21" i="55"/>
  <c r="D21" i="55"/>
  <c r="B21" i="55"/>
  <c r="X20" i="55"/>
  <c r="Z20" i="55" s="1"/>
  <c r="V20" i="55"/>
  <c r="N20" i="55"/>
  <c r="L20" i="55"/>
  <c r="J20" i="55"/>
  <c r="B20" i="55"/>
  <c r="T19" i="55"/>
  <c r="P19" i="55"/>
  <c r="X19" i="55" s="1"/>
  <c r="H19" i="55"/>
  <c r="D19" i="55"/>
  <c r="L19" i="55" s="1"/>
  <c r="B19" i="55"/>
  <c r="T18" i="55" a="1"/>
  <c r="T18" i="55"/>
  <c r="P18" i="55" a="1"/>
  <c r="P18" i="55" s="1"/>
  <c r="H18" i="55" a="1"/>
  <c r="H18" i="55"/>
  <c r="D18" i="55" a="1"/>
  <c r="D18" i="55" s="1"/>
  <c r="Z16" i="55"/>
  <c r="T16" i="55"/>
  <c r="R16" i="55"/>
  <c r="J16" i="55"/>
  <c r="F16" i="55"/>
  <c r="D16" i="55"/>
  <c r="Z14" i="55"/>
  <c r="V14" i="55"/>
  <c r="T14" i="55"/>
  <c r="R14" i="55"/>
  <c r="P14" i="55"/>
  <c r="X14" i="55" s="1"/>
  <c r="N14" i="55"/>
  <c r="L14" i="55"/>
  <c r="J14" i="55"/>
  <c r="H14" i="55"/>
  <c r="F14" i="55"/>
  <c r="D14" i="55"/>
  <c r="Z12" i="55"/>
  <c r="T12" i="55"/>
  <c r="V35" i="55" s="1"/>
  <c r="P12" i="55"/>
  <c r="R25" i="55" s="1"/>
  <c r="N12" i="55"/>
  <c r="H12" i="55"/>
  <c r="J33" i="55" s="1"/>
  <c r="D12" i="55"/>
  <c r="F35" i="55" s="1"/>
  <c r="D6" i="55"/>
  <c r="D4" i="55"/>
  <c r="R31" i="54"/>
  <c r="F31" i="54"/>
  <c r="T29" i="54"/>
  <c r="P29" i="54"/>
  <c r="X29" i="54" s="1"/>
  <c r="Z29" i="54" s="1"/>
  <c r="N29" i="54"/>
  <c r="H29" i="54"/>
  <c r="F29" i="54"/>
  <c r="D29" i="54"/>
  <c r="L29" i="54" s="1"/>
  <c r="X28" i="54"/>
  <c r="Z28" i="54" s="1"/>
  <c r="T28" i="54"/>
  <c r="R28" i="54"/>
  <c r="P28" i="54"/>
  <c r="H28" i="54"/>
  <c r="L28" i="54" s="1"/>
  <c r="N28" i="54" s="1"/>
  <c r="F28" i="54"/>
  <c r="D28" i="54"/>
  <c r="F26" i="54"/>
  <c r="Z24" i="54"/>
  <c r="X24" i="54"/>
  <c r="V24" i="54"/>
  <c r="N24" i="54"/>
  <c r="L24" i="54"/>
  <c r="R22" i="54"/>
  <c r="F22" i="54"/>
  <c r="Z20" i="54"/>
  <c r="V20" i="54"/>
  <c r="T20" i="54"/>
  <c r="P20" i="54"/>
  <c r="X20" i="54" s="1"/>
  <c r="N20" i="54"/>
  <c r="H20" i="54"/>
  <c r="L20" i="54" s="1"/>
  <c r="F20" i="54"/>
  <c r="D20" i="54"/>
  <c r="X18" i="54"/>
  <c r="V18" i="54"/>
  <c r="T18" i="54"/>
  <c r="Z18" i="54" s="1"/>
  <c r="R18" i="54"/>
  <c r="P18" i="54"/>
  <c r="N18" i="54"/>
  <c r="H18" i="54"/>
  <c r="F18" i="54"/>
  <c r="D18" i="54"/>
  <c r="L18" i="54" s="1"/>
  <c r="V16" i="54"/>
  <c r="P16" i="54"/>
  <c r="P22" i="54" s="1"/>
  <c r="F16" i="54"/>
  <c r="Z14" i="54"/>
  <c r="X14" i="54"/>
  <c r="T14" i="54"/>
  <c r="R14" i="54"/>
  <c r="P14" i="54"/>
  <c r="N14" i="54"/>
  <c r="H14" i="54"/>
  <c r="F14" i="54"/>
  <c r="D14" i="54"/>
  <c r="L14" i="54" s="1"/>
  <c r="T12" i="54"/>
  <c r="V29" i="54" s="1"/>
  <c r="P12" i="54"/>
  <c r="R24" i="54" s="1"/>
  <c r="H12" i="54"/>
  <c r="J24" i="54" s="1"/>
  <c r="D12" i="54"/>
  <c r="F24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V36" i="53" s="1"/>
  <c r="P12" i="53"/>
  <c r="R33" i="53" s="1"/>
  <c r="H12" i="53"/>
  <c r="D12" i="53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P20" i="52"/>
  <c r="H20" i="52"/>
  <c r="N20" i="52" s="1"/>
  <c r="D20" i="52"/>
  <c r="T16" i="52"/>
  <c r="P16" i="52"/>
  <c r="H16" i="52"/>
  <c r="N16" i="52" s="1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4" i="52" s="1"/>
  <c r="P12" i="52"/>
  <c r="R34" i="52" s="1"/>
  <c r="H12" i="52"/>
  <c r="J36" i="52" s="1"/>
  <c r="D12" i="52"/>
  <c r="F21" i="52" s="1"/>
  <c r="D5" i="52"/>
  <c r="D4" i="52"/>
  <c r="Z83" i="51"/>
  <c r="X83" i="51"/>
  <c r="N83" i="51"/>
  <c r="L83" i="51"/>
  <c r="P79" i="51"/>
  <c r="D79" i="51"/>
  <c r="L79" i="51" s="1"/>
  <c r="N79" i="51" s="1"/>
  <c r="B79" i="51"/>
  <c r="Z78" i="51"/>
  <c r="X78" i="51"/>
  <c r="P78" i="51"/>
  <c r="N78" i="51"/>
  <c r="D78" i="51"/>
  <c r="L78" i="51" s="1"/>
  <c r="B78" i="51"/>
  <c r="Z77" i="51"/>
  <c r="X77" i="51"/>
  <c r="P77" i="51"/>
  <c r="N77" i="51"/>
  <c r="L77" i="51"/>
  <c r="D77" i="51"/>
  <c r="B77" i="51"/>
  <c r="T76" i="51"/>
  <c r="H76" i="51"/>
  <c r="X74" i="51"/>
  <c r="Z74" i="51" s="1"/>
  <c r="L74" i="51"/>
  <c r="N74" i="51" s="1"/>
  <c r="B74" i="51"/>
  <c r="T73" i="51"/>
  <c r="Z73" i="51" s="1"/>
  <c r="P73" i="51"/>
  <c r="X73" i="51" s="1"/>
  <c r="N73" i="51"/>
  <c r="H73" i="51"/>
  <c r="D73" i="51"/>
  <c r="L73" i="51" s="1"/>
  <c r="B73" i="51"/>
  <c r="X72" i="51"/>
  <c r="Z72" i="51" s="1"/>
  <c r="L72" i="51"/>
  <c r="N72" i="51" s="1"/>
  <c r="B72" i="51"/>
  <c r="Z71" i="51"/>
  <c r="X71" i="51"/>
  <c r="L71" i="51"/>
  <c r="N71" i="51" s="1"/>
  <c r="B71" i="51"/>
  <c r="T70" i="51"/>
  <c r="P70" i="51"/>
  <c r="X70" i="51" s="1"/>
  <c r="L70" i="51"/>
  <c r="H70" i="51"/>
  <c r="N70" i="51" s="1"/>
  <c r="D70" i="51"/>
  <c r="B70" i="51"/>
  <c r="Z69" i="51"/>
  <c r="X69" i="51"/>
  <c r="V69" i="51"/>
  <c r="N69" i="51"/>
  <c r="L69" i="51"/>
  <c r="B69" i="51"/>
  <c r="X68" i="51"/>
  <c r="T68" i="51"/>
  <c r="Z68" i="51" s="1"/>
  <c r="P68" i="51"/>
  <c r="H68" i="51"/>
  <c r="D68" i="51"/>
  <c r="B68" i="51"/>
  <c r="Z67" i="51"/>
  <c r="X67" i="51"/>
  <c r="N67" i="51"/>
  <c r="L67" i="51"/>
  <c r="B67" i="51"/>
  <c r="T66" i="51"/>
  <c r="P66" i="51"/>
  <c r="H66" i="51"/>
  <c r="N66" i="51" s="1"/>
  <c r="D66" i="51"/>
  <c r="L66" i="51" s="1"/>
  <c r="B66" i="51"/>
  <c r="X65" i="51"/>
  <c r="Z65" i="51" s="1"/>
  <c r="N65" i="51"/>
  <c r="L65" i="51"/>
  <c r="J65" i="51"/>
  <c r="B65" i="51"/>
  <c r="T64" i="51"/>
  <c r="Z64" i="51" s="1"/>
  <c r="P64" i="51"/>
  <c r="X64" i="51" s="1"/>
  <c r="H64" i="51"/>
  <c r="N64" i="51" s="1"/>
  <c r="D64" i="51"/>
  <c r="L64" i="51" s="1"/>
  <c r="B64" i="51"/>
  <c r="Z63" i="51"/>
  <c r="X63" i="51"/>
  <c r="N63" i="51"/>
  <c r="L63" i="51"/>
  <c r="B63" i="51"/>
  <c r="T62" i="51"/>
  <c r="Z62" i="51" s="1"/>
  <c r="P62" i="51"/>
  <c r="X62" i="51" s="1"/>
  <c r="L62" i="51"/>
  <c r="H62" i="51"/>
  <c r="D62" i="51"/>
  <c r="B62" i="51"/>
  <c r="Z61" i="51"/>
  <c r="X61" i="51"/>
  <c r="V61" i="51"/>
  <c r="N61" i="51"/>
  <c r="L61" i="51"/>
  <c r="B61" i="51"/>
  <c r="X60" i="51"/>
  <c r="T60" i="51"/>
  <c r="Z60" i="51" s="1"/>
  <c r="P60" i="51"/>
  <c r="H60" i="51"/>
  <c r="D60" i="51"/>
  <c r="L60" i="51" s="1"/>
  <c r="B60" i="51"/>
  <c r="Z59" i="51"/>
  <c r="X59" i="51"/>
  <c r="N59" i="51"/>
  <c r="L59" i="51"/>
  <c r="B59" i="51"/>
  <c r="T58" i="51"/>
  <c r="Z58" i="51" s="1"/>
  <c r="P58" i="51"/>
  <c r="X58" i="51" s="1"/>
  <c r="H58" i="51"/>
  <c r="N58" i="51" s="1"/>
  <c r="D58" i="51"/>
  <c r="L58" i="51" s="1"/>
  <c r="B58" i="51"/>
  <c r="Z57" i="51"/>
  <c r="X57" i="51"/>
  <c r="N57" i="51"/>
  <c r="L57" i="51"/>
  <c r="J57" i="51"/>
  <c r="B57" i="51"/>
  <c r="T56" i="51"/>
  <c r="Z56" i="51" s="1"/>
  <c r="P56" i="51"/>
  <c r="X56" i="51" s="1"/>
  <c r="H56" i="51"/>
  <c r="D56" i="51"/>
  <c r="L56" i="51" s="1"/>
  <c r="B56" i="51"/>
  <c r="Z55" i="51"/>
  <c r="X55" i="51"/>
  <c r="N55" i="51"/>
  <c r="L55" i="51"/>
  <c r="B55" i="51"/>
  <c r="Z54" i="51"/>
  <c r="X54" i="51"/>
  <c r="N54" i="51"/>
  <c r="L54" i="51"/>
  <c r="F54" i="51"/>
  <c r="B54" i="51"/>
  <c r="Z53" i="51"/>
  <c r="X53" i="51"/>
  <c r="N53" i="51"/>
  <c r="L53" i="51"/>
  <c r="J53" i="51"/>
  <c r="B53" i="51"/>
  <c r="X52" i="51"/>
  <c r="Z52" i="51" s="1"/>
  <c r="N52" i="51"/>
  <c r="L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V49" i="51"/>
  <c r="L49" i="51"/>
  <c r="N49" i="51" s="1"/>
  <c r="B49" i="51"/>
  <c r="Z48" i="51"/>
  <c r="X48" i="51"/>
  <c r="N48" i="51"/>
  <c r="L48" i="51"/>
  <c r="B48" i="51"/>
  <c r="Z47" i="51"/>
  <c r="X47" i="51"/>
  <c r="N47" i="51"/>
  <c r="L47" i="51"/>
  <c r="B47" i="51"/>
  <c r="Z46" i="51"/>
  <c r="X46" i="51"/>
  <c r="N46" i="51"/>
  <c r="L46" i="51"/>
  <c r="F46" i="51"/>
  <c r="B46" i="51"/>
  <c r="T45" i="51"/>
  <c r="P45" i="51"/>
  <c r="X45" i="51" s="1"/>
  <c r="H45" i="51"/>
  <c r="D45" i="51"/>
  <c r="L45" i="51" s="1"/>
  <c r="N45" i="51" s="1"/>
  <c r="B45" i="51"/>
  <c r="X44" i="51"/>
  <c r="Z44" i="51" s="1"/>
  <c r="N44" i="51"/>
  <c r="L44" i="51"/>
  <c r="B44" i="51"/>
  <c r="Z43" i="51"/>
  <c r="X43" i="51"/>
  <c r="L43" i="51"/>
  <c r="N43" i="51" s="1"/>
  <c r="B43" i="51"/>
  <c r="Z42" i="51"/>
  <c r="X42" i="51"/>
  <c r="N42" i="51"/>
  <c r="L42" i="51"/>
  <c r="B42" i="51"/>
  <c r="Z41" i="51"/>
  <c r="X41" i="51"/>
  <c r="N41" i="51"/>
  <c r="L41" i="51"/>
  <c r="J41" i="51"/>
  <c r="B41" i="51"/>
  <c r="Z40" i="51"/>
  <c r="X40" i="51"/>
  <c r="N40" i="51"/>
  <c r="L40" i="51"/>
  <c r="B40" i="51"/>
  <c r="X39" i="51"/>
  <c r="Z39" i="51" s="1"/>
  <c r="N39" i="51"/>
  <c r="L39" i="51"/>
  <c r="B39" i="51"/>
  <c r="X38" i="51"/>
  <c r="Z38" i="51" s="1"/>
  <c r="L38" i="51"/>
  <c r="N38" i="51" s="1"/>
  <c r="B38" i="51"/>
  <c r="Z37" i="51"/>
  <c r="X37" i="51"/>
  <c r="V37" i="51"/>
  <c r="N37" i="51"/>
  <c r="L37" i="51"/>
  <c r="B37" i="51"/>
  <c r="X36" i="51"/>
  <c r="Z36" i="51" s="1"/>
  <c r="L36" i="51"/>
  <c r="N36" i="51" s="1"/>
  <c r="B36" i="51"/>
  <c r="Z35" i="51"/>
  <c r="X35" i="51"/>
  <c r="L35" i="51"/>
  <c r="N35" i="51" s="1"/>
  <c r="B35" i="51"/>
  <c r="T34" i="51"/>
  <c r="Z34" i="51" s="1"/>
  <c r="P34" i="51"/>
  <c r="X34" i="51" s="1"/>
  <c r="L34" i="51"/>
  <c r="N34" i="51" s="1"/>
  <c r="H34" i="51"/>
  <c r="D34" i="51"/>
  <c r="B34" i="51"/>
  <c r="V33" i="51"/>
  <c r="T33" i="51" a="1"/>
  <c r="T33" i="51" s="1"/>
  <c r="P33" i="51" a="1"/>
  <c r="P33" i="51" s="1"/>
  <c r="X33" i="51" s="1"/>
  <c r="H33" i="51" a="1"/>
  <c r="H33" i="51" s="1"/>
  <c r="D33" i="51" a="1"/>
  <c r="D33" i="51" s="1"/>
  <c r="Z29" i="51"/>
  <c r="X29" i="51"/>
  <c r="N29" i="51"/>
  <c r="L29" i="51"/>
  <c r="J29" i="51"/>
  <c r="B29" i="51"/>
  <c r="Z28" i="51"/>
  <c r="X28" i="51"/>
  <c r="N28" i="51"/>
  <c r="L28" i="51"/>
  <c r="B28" i="51"/>
  <c r="Z27" i="51"/>
  <c r="X27" i="51"/>
  <c r="N27" i="51"/>
  <c r="L27" i="51"/>
  <c r="B27" i="51"/>
  <c r="Z26" i="51"/>
  <c r="X26" i="51"/>
  <c r="N26" i="51"/>
  <c r="L26" i="51"/>
  <c r="B26" i="51"/>
  <c r="Z25" i="51"/>
  <c r="X25" i="51"/>
  <c r="V25" i="51"/>
  <c r="N25" i="51"/>
  <c r="L25" i="51"/>
  <c r="B25" i="51"/>
  <c r="Z24" i="51"/>
  <c r="X24" i="51"/>
  <c r="N24" i="51"/>
  <c r="L24" i="51"/>
  <c r="B24" i="51"/>
  <c r="Z23" i="51"/>
  <c r="X23" i="51"/>
  <c r="N23" i="51"/>
  <c r="L23" i="51"/>
  <c r="B23" i="51"/>
  <c r="Z22" i="51"/>
  <c r="X22" i="51"/>
  <c r="N22" i="51"/>
  <c r="L22" i="51"/>
  <c r="F22" i="51"/>
  <c r="B22" i="51"/>
  <c r="Z21" i="51"/>
  <c r="X21" i="51"/>
  <c r="V21" i="51"/>
  <c r="N21" i="51"/>
  <c r="L21" i="51"/>
  <c r="J21" i="51"/>
  <c r="B21" i="51"/>
  <c r="X20" i="51"/>
  <c r="Z20" i="51" s="1"/>
  <c r="L20" i="51"/>
  <c r="N20" i="51" s="1"/>
  <c r="B20" i="51"/>
  <c r="T19" i="51"/>
  <c r="P19" i="51"/>
  <c r="X19" i="51" s="1"/>
  <c r="Z19" i="51" s="1"/>
  <c r="L19" i="51"/>
  <c r="N19" i="51" s="1"/>
  <c r="J19" i="51"/>
  <c r="H19" i="51"/>
  <c r="D19" i="51"/>
  <c r="Z17" i="51"/>
  <c r="X17" i="51"/>
  <c r="P17" i="51"/>
  <c r="N17" i="51"/>
  <c r="L17" i="51"/>
  <c r="D17" i="51"/>
  <c r="B17" i="51"/>
  <c r="Z16" i="51"/>
  <c r="X16" i="51"/>
  <c r="P16" i="51"/>
  <c r="N16" i="51"/>
  <c r="D16" i="51"/>
  <c r="D12" i="51" s="1"/>
  <c r="B16" i="51"/>
  <c r="Z15" i="51"/>
  <c r="P15" i="51"/>
  <c r="N15" i="51"/>
  <c r="L15" i="51"/>
  <c r="D15" i="51"/>
  <c r="B15" i="51"/>
  <c r="Z14" i="51"/>
  <c r="X14" i="51"/>
  <c r="P14" i="51"/>
  <c r="N14" i="51"/>
  <c r="L14" i="51"/>
  <c r="D14" i="51"/>
  <c r="B14" i="51"/>
  <c r="Z13" i="51"/>
  <c r="X13" i="51"/>
  <c r="P13" i="51"/>
  <c r="L13" i="51"/>
  <c r="N13" i="51" s="1"/>
  <c r="D13" i="51"/>
  <c r="B13" i="51"/>
  <c r="T12" i="51"/>
  <c r="V78" i="51" s="1"/>
  <c r="H12" i="51"/>
  <c r="J77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P12" i="50"/>
  <c r="H12" i="50"/>
  <c r="J20" i="50" s="1"/>
  <c r="D12" i="50"/>
  <c r="F22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D15" i="49"/>
  <c r="T13" i="49"/>
  <c r="Z13" i="49" s="1"/>
  <c r="P13" i="49"/>
  <c r="H13" i="49"/>
  <c r="N13" i="49" s="1"/>
  <c r="D13" i="49"/>
  <c r="B13" i="49"/>
  <c r="T12" i="49"/>
  <c r="V36" i="49" s="1"/>
  <c r="P12" i="49"/>
  <c r="R21" i="49" s="1"/>
  <c r="H12" i="49"/>
  <c r="J20" i="49" s="1"/>
  <c r="D12" i="49"/>
  <c r="D5" i="49"/>
  <c r="D4" i="49"/>
  <c r="X77" i="48"/>
  <c r="Z77" i="48" s="1"/>
  <c r="V77" i="48"/>
  <c r="L77" i="48"/>
  <c r="N77" i="48" s="1"/>
  <c r="X73" i="48"/>
  <c r="Z73" i="48" s="1"/>
  <c r="P73" i="48"/>
  <c r="L73" i="48"/>
  <c r="N73" i="48" s="1"/>
  <c r="D73" i="48"/>
  <c r="B73" i="48"/>
  <c r="T72" i="48"/>
  <c r="P72" i="48"/>
  <c r="H72" i="48"/>
  <c r="D72" i="48"/>
  <c r="L72" i="48" s="1"/>
  <c r="N72" i="48" s="1"/>
  <c r="Z70" i="48"/>
  <c r="X70" i="48"/>
  <c r="N70" i="48"/>
  <c r="L70" i="48"/>
  <c r="F70" i="48"/>
  <c r="B70" i="48"/>
  <c r="T69" i="48"/>
  <c r="Z69" i="48" s="1"/>
  <c r="P69" i="48"/>
  <c r="X69" i="48" s="1"/>
  <c r="N69" i="48"/>
  <c r="H69" i="48"/>
  <c r="D69" i="48"/>
  <c r="L69" i="48" s="1"/>
  <c r="B69" i="48"/>
  <c r="X68" i="48"/>
  <c r="Z68" i="48" s="1"/>
  <c r="N68" i="48"/>
  <c r="L68" i="48"/>
  <c r="B68" i="48"/>
  <c r="T67" i="48"/>
  <c r="P67" i="48"/>
  <c r="X67" i="48" s="1"/>
  <c r="Z67" i="48" s="1"/>
  <c r="L67" i="48"/>
  <c r="J67" i="48"/>
  <c r="H67" i="48"/>
  <c r="N67" i="48" s="1"/>
  <c r="D67" i="48"/>
  <c r="B67" i="48"/>
  <c r="Z66" i="48"/>
  <c r="X66" i="48"/>
  <c r="R66" i="48"/>
  <c r="N66" i="48"/>
  <c r="L66" i="48"/>
  <c r="B66" i="48"/>
  <c r="Z65" i="48"/>
  <c r="X65" i="48"/>
  <c r="V65" i="48"/>
  <c r="N65" i="48"/>
  <c r="L65" i="48"/>
  <c r="B65" i="48"/>
  <c r="X64" i="48"/>
  <c r="Z64" i="48" s="1"/>
  <c r="L64" i="48"/>
  <c r="N64" i="48" s="1"/>
  <c r="B64" i="48"/>
  <c r="T63" i="48"/>
  <c r="P63" i="48"/>
  <c r="X63" i="48" s="1"/>
  <c r="Z63" i="48" s="1"/>
  <c r="L63" i="48"/>
  <c r="N63" i="48" s="1"/>
  <c r="J63" i="48"/>
  <c r="H63" i="48"/>
  <c r="D63" i="48"/>
  <c r="B63" i="48"/>
  <c r="X62" i="48"/>
  <c r="Z62" i="48" s="1"/>
  <c r="R62" i="48"/>
  <c r="N62" i="48"/>
  <c r="L62" i="48"/>
  <c r="B62" i="48"/>
  <c r="X61" i="48"/>
  <c r="Z61" i="48" s="1"/>
  <c r="V61" i="48"/>
  <c r="T61" i="48"/>
  <c r="P61" i="48"/>
  <c r="H61" i="48"/>
  <c r="F61" i="48"/>
  <c r="D61" i="48"/>
  <c r="B61" i="48"/>
  <c r="Z60" i="48"/>
  <c r="X60" i="48"/>
  <c r="N60" i="48"/>
  <c r="L60" i="48"/>
  <c r="B60" i="48"/>
  <c r="X59" i="48"/>
  <c r="Z59" i="48" s="1"/>
  <c r="N59" i="48"/>
  <c r="L59" i="48"/>
  <c r="B59" i="48"/>
  <c r="Z58" i="48"/>
  <c r="X58" i="48"/>
  <c r="R58" i="48"/>
  <c r="N58" i="48"/>
  <c r="L58" i="48"/>
  <c r="B58" i="48"/>
  <c r="V57" i="48"/>
  <c r="T57" i="48"/>
  <c r="Z57" i="48" s="1"/>
  <c r="P57" i="48"/>
  <c r="X57" i="48" s="1"/>
  <c r="L57" i="48"/>
  <c r="H57" i="48"/>
  <c r="N57" i="48" s="1"/>
  <c r="F57" i="48"/>
  <c r="D57" i="48"/>
  <c r="B57" i="48"/>
  <c r="Z56" i="48"/>
  <c r="X56" i="48"/>
  <c r="L56" i="48"/>
  <c r="N56" i="48" s="1"/>
  <c r="B56" i="48"/>
  <c r="T55" i="48"/>
  <c r="R55" i="48"/>
  <c r="P55" i="48"/>
  <c r="L55" i="48"/>
  <c r="H55" i="48"/>
  <c r="N55" i="48" s="1"/>
  <c r="D55" i="48"/>
  <c r="B55" i="48"/>
  <c r="Z54" i="48"/>
  <c r="X54" i="48"/>
  <c r="N54" i="48"/>
  <c r="L54" i="48"/>
  <c r="F54" i="48"/>
  <c r="B54" i="48"/>
  <c r="X53" i="48"/>
  <c r="T53" i="48"/>
  <c r="Z53" i="48" s="1"/>
  <c r="P53" i="48"/>
  <c r="H53" i="48"/>
  <c r="D53" i="48"/>
  <c r="L53" i="48" s="1"/>
  <c r="N53" i="48" s="1"/>
  <c r="B53" i="48"/>
  <c r="X52" i="48"/>
  <c r="Z52" i="48" s="1"/>
  <c r="N52" i="48"/>
  <c r="L52" i="48"/>
  <c r="B52" i="48"/>
  <c r="T51" i="48"/>
  <c r="P51" i="48"/>
  <c r="X51" i="48" s="1"/>
  <c r="Z51" i="48" s="1"/>
  <c r="J51" i="48"/>
  <c r="H51" i="48"/>
  <c r="D51" i="48"/>
  <c r="L51" i="48" s="1"/>
  <c r="B51" i="48"/>
  <c r="Z50" i="48"/>
  <c r="X50" i="48"/>
  <c r="R50" i="48"/>
  <c r="N50" i="48"/>
  <c r="L50" i="48"/>
  <c r="B50" i="48"/>
  <c r="Z49" i="48"/>
  <c r="X49" i="48"/>
  <c r="V49" i="48"/>
  <c r="N49" i="48"/>
  <c r="L49" i="48"/>
  <c r="B49" i="48"/>
  <c r="X48" i="48"/>
  <c r="Z48" i="48" s="1"/>
  <c r="T48" i="48"/>
  <c r="P48" i="48"/>
  <c r="H48" i="48"/>
  <c r="D48" i="48"/>
  <c r="B48" i="48"/>
  <c r="X47" i="48"/>
  <c r="Z47" i="48" s="1"/>
  <c r="N47" i="48"/>
  <c r="L47" i="48"/>
  <c r="B47" i="48"/>
  <c r="T46" i="48"/>
  <c r="P46" i="48"/>
  <c r="H46" i="48"/>
  <c r="D46" i="48"/>
  <c r="L46" i="48" s="1"/>
  <c r="N46" i="48" s="1"/>
  <c r="B46" i="48"/>
  <c r="X45" i="48"/>
  <c r="Z45" i="48" s="1"/>
  <c r="L45" i="48"/>
  <c r="N45" i="48" s="1"/>
  <c r="J45" i="48"/>
  <c r="B45" i="48"/>
  <c r="T44" i="48"/>
  <c r="P44" i="48"/>
  <c r="X44" i="48" s="1"/>
  <c r="Z44" i="48" s="1"/>
  <c r="H44" i="48"/>
  <c r="N44" i="48" s="1"/>
  <c r="D44" i="48"/>
  <c r="L44" i="48" s="1"/>
  <c r="B44" i="48"/>
  <c r="Z43" i="48"/>
  <c r="X43" i="48"/>
  <c r="L43" i="48"/>
  <c r="N43" i="48" s="1"/>
  <c r="B43" i="48"/>
  <c r="T42" i="48"/>
  <c r="Z42" i="48" s="1"/>
  <c r="P42" i="48"/>
  <c r="X42" i="48" s="1"/>
  <c r="L42" i="48"/>
  <c r="N42" i="48" s="1"/>
  <c r="H42" i="48"/>
  <c r="D42" i="48"/>
  <c r="B42" i="48"/>
  <c r="Z41" i="48"/>
  <c r="X41" i="48"/>
  <c r="V41" i="48"/>
  <c r="N41" i="48"/>
  <c r="L41" i="48"/>
  <c r="B41" i="48"/>
  <c r="Z40" i="48"/>
  <c r="X40" i="48"/>
  <c r="N40" i="48"/>
  <c r="L40" i="48"/>
  <c r="B40" i="48"/>
  <c r="Z39" i="48"/>
  <c r="X39" i="48"/>
  <c r="L39" i="48"/>
  <c r="N39" i="48" s="1"/>
  <c r="B39" i="48"/>
  <c r="X38" i="48"/>
  <c r="Z38" i="48" s="1"/>
  <c r="N38" i="48"/>
  <c r="L38" i="48"/>
  <c r="F38" i="48"/>
  <c r="B38" i="48"/>
  <c r="Z37" i="48"/>
  <c r="X37" i="48"/>
  <c r="N37" i="48"/>
  <c r="L37" i="48"/>
  <c r="J37" i="48"/>
  <c r="B37" i="48"/>
  <c r="Z36" i="48"/>
  <c r="X36" i="48"/>
  <c r="N36" i="48"/>
  <c r="L36" i="48"/>
  <c r="B36" i="48"/>
  <c r="X35" i="48"/>
  <c r="Z35" i="48" s="1"/>
  <c r="N35" i="48"/>
  <c r="L35" i="48"/>
  <c r="B35" i="48"/>
  <c r="Z34" i="48"/>
  <c r="X34" i="48"/>
  <c r="R34" i="48"/>
  <c r="N34" i="48"/>
  <c r="L34" i="48"/>
  <c r="B34" i="48"/>
  <c r="X33" i="48"/>
  <c r="Z33" i="48" s="1"/>
  <c r="V33" i="48"/>
  <c r="L33" i="48"/>
  <c r="N33" i="48" s="1"/>
  <c r="B33" i="48"/>
  <c r="X32" i="48"/>
  <c r="Z32" i="48" s="1"/>
  <c r="L32" i="48"/>
  <c r="N32" i="48" s="1"/>
  <c r="B32" i="48"/>
  <c r="T31" i="48"/>
  <c r="P31" i="48"/>
  <c r="X31" i="48" s="1"/>
  <c r="Z31" i="48" s="1"/>
  <c r="L31" i="48"/>
  <c r="N31" i="48" s="1"/>
  <c r="J31" i="48"/>
  <c r="H31" i="48"/>
  <c r="D31" i="48"/>
  <c r="B31" i="48"/>
  <c r="Z30" i="48"/>
  <c r="X30" i="48"/>
  <c r="R30" i="48"/>
  <c r="N30" i="48"/>
  <c r="L30" i="48"/>
  <c r="B30" i="48"/>
  <c r="X29" i="48"/>
  <c r="Z29" i="48" s="1"/>
  <c r="V29" i="48"/>
  <c r="L29" i="48"/>
  <c r="N29" i="48" s="1"/>
  <c r="B29" i="48"/>
  <c r="X28" i="48"/>
  <c r="Z28" i="48" s="1"/>
  <c r="L28" i="48"/>
  <c r="N28" i="48" s="1"/>
  <c r="B28" i="48"/>
  <c r="Z27" i="48"/>
  <c r="X27" i="48"/>
  <c r="N27" i="48"/>
  <c r="L27" i="48"/>
  <c r="B27" i="48"/>
  <c r="Z26" i="48"/>
  <c r="X26" i="48"/>
  <c r="N26" i="48"/>
  <c r="L26" i="48"/>
  <c r="F26" i="48"/>
  <c r="B26" i="48"/>
  <c r="X25" i="48"/>
  <c r="Z25" i="48" s="1"/>
  <c r="L25" i="48"/>
  <c r="N25" i="48" s="1"/>
  <c r="J25" i="48"/>
  <c r="B25" i="48"/>
  <c r="X24" i="48"/>
  <c r="Z24" i="48" s="1"/>
  <c r="L24" i="48"/>
  <c r="N24" i="48" s="1"/>
  <c r="B24" i="48"/>
  <c r="X23" i="48"/>
  <c r="Z23" i="48" s="1"/>
  <c r="N23" i="48"/>
  <c r="L23" i="48"/>
  <c r="B23" i="48"/>
  <c r="X22" i="48"/>
  <c r="Z22" i="48" s="1"/>
  <c r="R22" i="48"/>
  <c r="N22" i="48"/>
  <c r="L22" i="48"/>
  <c r="B22" i="48"/>
  <c r="X21" i="48"/>
  <c r="Z21" i="48" s="1"/>
  <c r="V21" i="48"/>
  <c r="L21" i="48"/>
  <c r="N21" i="48" s="1"/>
  <c r="B21" i="48"/>
  <c r="X20" i="48"/>
  <c r="T20" i="48"/>
  <c r="Z20" i="48" s="1"/>
  <c r="P20" i="48"/>
  <c r="H20" i="48"/>
  <c r="D20" i="48"/>
  <c r="B20" i="48"/>
  <c r="T19" i="48" a="1"/>
  <c r="T19" i="48"/>
  <c r="P19" i="48" a="1"/>
  <c r="P19" i="48" s="1"/>
  <c r="H19" i="48" a="1"/>
  <c r="H19" i="48"/>
  <c r="D19" i="48" a="1"/>
  <c r="D19" i="48" s="1"/>
  <c r="T17" i="48"/>
  <c r="T75" i="48" s="1"/>
  <c r="V75" i="48" s="1"/>
  <c r="Z15" i="48"/>
  <c r="V15" i="48"/>
  <c r="T15" i="48"/>
  <c r="P15" i="48"/>
  <c r="X15" i="48" s="1"/>
  <c r="N15" i="48"/>
  <c r="L15" i="48"/>
  <c r="J15" i="48"/>
  <c r="H15" i="48"/>
  <c r="D15" i="48"/>
  <c r="P13" i="48"/>
  <c r="X13" i="48" s="1"/>
  <c r="Z13" i="48" s="1"/>
  <c r="L13" i="48"/>
  <c r="N13" i="48" s="1"/>
  <c r="D13" i="48"/>
  <c r="B13" i="48"/>
  <c r="T12" i="48"/>
  <c r="V68" i="48" s="1"/>
  <c r="P12" i="48"/>
  <c r="R77" i="48" s="1"/>
  <c r="L12" i="48"/>
  <c r="N12" i="48" s="1"/>
  <c r="H12" i="48"/>
  <c r="J73" i="48" s="1"/>
  <c r="D12" i="48"/>
  <c r="F48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D13" i="47"/>
  <c r="B13" i="47"/>
  <c r="T12" i="47"/>
  <c r="V22" i="47" s="1"/>
  <c r="P12" i="47"/>
  <c r="R18" i="47" s="1"/>
  <c r="H12" i="47"/>
  <c r="D12" i="47"/>
  <c r="F33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P12" i="46"/>
  <c r="R21" i="46" s="1"/>
  <c r="H12" i="46"/>
  <c r="J20" i="46" s="1"/>
  <c r="D12" i="46"/>
  <c r="F36" i="46" s="1"/>
  <c r="D5" i="46"/>
  <c r="D4" i="46"/>
  <c r="X104" i="45"/>
  <c r="Z104" i="45" s="1"/>
  <c r="N104" i="45"/>
  <c r="L104" i="45"/>
  <c r="Z100" i="45"/>
  <c r="T100" i="45"/>
  <c r="P100" i="45"/>
  <c r="X100" i="45" s="1"/>
  <c r="N100" i="45"/>
  <c r="H100" i="45"/>
  <c r="D100" i="45"/>
  <c r="L100" i="45" s="1"/>
  <c r="Z98" i="45"/>
  <c r="X98" i="45"/>
  <c r="N98" i="45"/>
  <c r="L98" i="45"/>
  <c r="B98" i="45"/>
  <c r="Z97" i="45"/>
  <c r="X97" i="45"/>
  <c r="N97" i="45"/>
  <c r="L97" i="45"/>
  <c r="B97" i="45"/>
  <c r="Z96" i="45"/>
  <c r="T96" i="45"/>
  <c r="P96" i="45"/>
  <c r="X96" i="45" s="1"/>
  <c r="L96" i="45"/>
  <c r="J96" i="45"/>
  <c r="H96" i="45"/>
  <c r="N96" i="45" s="1"/>
  <c r="D96" i="45"/>
  <c r="B96" i="45"/>
  <c r="Z95" i="45"/>
  <c r="X95" i="45"/>
  <c r="L95" i="45"/>
  <c r="N95" i="45" s="1"/>
  <c r="B95" i="45"/>
  <c r="X94" i="45"/>
  <c r="T94" i="45"/>
  <c r="Z94" i="45" s="1"/>
  <c r="P94" i="45"/>
  <c r="H94" i="45"/>
  <c r="D94" i="45"/>
  <c r="L94" i="45" s="1"/>
  <c r="B94" i="45"/>
  <c r="Z93" i="45"/>
  <c r="X93" i="45"/>
  <c r="L93" i="45"/>
  <c r="N93" i="45" s="1"/>
  <c r="B93" i="45"/>
  <c r="X92" i="45"/>
  <c r="Z92" i="45" s="1"/>
  <c r="N92" i="45"/>
  <c r="L92" i="45"/>
  <c r="B92" i="45"/>
  <c r="T91" i="45"/>
  <c r="P91" i="45"/>
  <c r="H91" i="45"/>
  <c r="D91" i="45"/>
  <c r="L91" i="45" s="1"/>
  <c r="N91" i="45" s="1"/>
  <c r="B91" i="45"/>
  <c r="Z90" i="45"/>
  <c r="X90" i="45"/>
  <c r="L90" i="45"/>
  <c r="N90" i="45" s="1"/>
  <c r="J90" i="45"/>
  <c r="B90" i="45"/>
  <c r="Z89" i="45"/>
  <c r="X89" i="45"/>
  <c r="N89" i="45"/>
  <c r="L89" i="45"/>
  <c r="B89" i="45"/>
  <c r="X88" i="45"/>
  <c r="Z88" i="45" s="1"/>
  <c r="N88" i="45"/>
  <c r="L88" i="45"/>
  <c r="B88" i="45"/>
  <c r="X87" i="45"/>
  <c r="Z87" i="45" s="1"/>
  <c r="L87" i="45"/>
  <c r="N87" i="45" s="1"/>
  <c r="B87" i="45"/>
  <c r="X86" i="45"/>
  <c r="Z86" i="45" s="1"/>
  <c r="N86" i="45"/>
  <c r="L86" i="45"/>
  <c r="B86" i="45"/>
  <c r="X85" i="45"/>
  <c r="Z85" i="45" s="1"/>
  <c r="L85" i="45"/>
  <c r="N85" i="45" s="1"/>
  <c r="B85" i="45"/>
  <c r="Z84" i="45"/>
  <c r="X84" i="45"/>
  <c r="L84" i="45"/>
  <c r="N84" i="45" s="1"/>
  <c r="B84" i="45"/>
  <c r="Z83" i="45"/>
  <c r="X83" i="45"/>
  <c r="N83" i="45"/>
  <c r="L83" i="45"/>
  <c r="B83" i="45"/>
  <c r="Z82" i="45"/>
  <c r="X82" i="45"/>
  <c r="L82" i="45"/>
  <c r="N82" i="45" s="1"/>
  <c r="J82" i="45"/>
  <c r="B82" i="45"/>
  <c r="T81" i="45"/>
  <c r="Z81" i="45" s="1"/>
  <c r="P81" i="45"/>
  <c r="X81" i="45" s="1"/>
  <c r="L81" i="45"/>
  <c r="H81" i="45"/>
  <c r="N81" i="45" s="1"/>
  <c r="D81" i="45"/>
  <c r="B81" i="45"/>
  <c r="Z80" i="45"/>
  <c r="X80" i="45"/>
  <c r="N80" i="45"/>
  <c r="L80" i="45"/>
  <c r="B80" i="45"/>
  <c r="X79" i="45"/>
  <c r="T79" i="45"/>
  <c r="Z79" i="45" s="1"/>
  <c r="P79" i="45"/>
  <c r="L79" i="45"/>
  <c r="H79" i="45"/>
  <c r="N79" i="45" s="1"/>
  <c r="D79" i="45"/>
  <c r="B79" i="45"/>
  <c r="Z78" i="45"/>
  <c r="X78" i="45"/>
  <c r="N78" i="45"/>
  <c r="L78" i="45"/>
  <c r="B78" i="45"/>
  <c r="X77" i="45"/>
  <c r="Z77" i="45" s="1"/>
  <c r="L77" i="45"/>
  <c r="N77" i="45" s="1"/>
  <c r="B77" i="45"/>
  <c r="Z76" i="45"/>
  <c r="X76" i="45"/>
  <c r="N76" i="45"/>
  <c r="L76" i="45"/>
  <c r="B76" i="45"/>
  <c r="X75" i="45"/>
  <c r="Z75" i="45" s="1"/>
  <c r="L75" i="45"/>
  <c r="N75" i="45" s="1"/>
  <c r="B75" i="45"/>
  <c r="T74" i="45"/>
  <c r="P74" i="45"/>
  <c r="X74" i="45" s="1"/>
  <c r="Z74" i="45" s="1"/>
  <c r="H74" i="45"/>
  <c r="D74" i="45"/>
  <c r="L74" i="45" s="1"/>
  <c r="N74" i="45" s="1"/>
  <c r="B74" i="45"/>
  <c r="X73" i="45"/>
  <c r="Z73" i="45" s="1"/>
  <c r="L73" i="45"/>
  <c r="N73" i="45" s="1"/>
  <c r="B73" i="45"/>
  <c r="Z72" i="45"/>
  <c r="X72" i="45"/>
  <c r="L72" i="45"/>
  <c r="N72" i="45" s="1"/>
  <c r="B72" i="45"/>
  <c r="X71" i="45"/>
  <c r="Z71" i="45" s="1"/>
  <c r="L71" i="45"/>
  <c r="N71" i="45" s="1"/>
  <c r="B71" i="45"/>
  <c r="T70" i="45"/>
  <c r="P70" i="45"/>
  <c r="X70" i="45" s="1"/>
  <c r="Z70" i="45" s="1"/>
  <c r="N70" i="45"/>
  <c r="H70" i="45"/>
  <c r="D70" i="45"/>
  <c r="L70" i="45" s="1"/>
  <c r="B70" i="45"/>
  <c r="X69" i="45"/>
  <c r="Z69" i="45" s="1"/>
  <c r="N69" i="45"/>
  <c r="L69" i="45"/>
  <c r="B69" i="45"/>
  <c r="Z68" i="45"/>
  <c r="T68" i="45"/>
  <c r="P68" i="45"/>
  <c r="X68" i="45" s="1"/>
  <c r="L68" i="45"/>
  <c r="N68" i="45" s="1"/>
  <c r="J68" i="45"/>
  <c r="H68" i="45"/>
  <c r="D68" i="45"/>
  <c r="B68" i="45"/>
  <c r="X67" i="45"/>
  <c r="Z67" i="45" s="1"/>
  <c r="R67" i="45"/>
  <c r="L67" i="45"/>
  <c r="N67" i="45" s="1"/>
  <c r="B67" i="45"/>
  <c r="X66" i="45"/>
  <c r="T66" i="45"/>
  <c r="Z66" i="45" s="1"/>
  <c r="P66" i="45"/>
  <c r="H66" i="45"/>
  <c r="D66" i="45"/>
  <c r="B66" i="45"/>
  <c r="Z65" i="45"/>
  <c r="X65" i="45"/>
  <c r="L65" i="45"/>
  <c r="N65" i="45" s="1"/>
  <c r="B65" i="45"/>
  <c r="T64" i="45"/>
  <c r="Z64" i="45" s="1"/>
  <c r="R64" i="45"/>
  <c r="P64" i="45"/>
  <c r="X64" i="45" s="1"/>
  <c r="H64" i="45"/>
  <c r="N64" i="45" s="1"/>
  <c r="D64" i="45"/>
  <c r="L64" i="45" s="1"/>
  <c r="B64" i="45"/>
  <c r="Z63" i="45"/>
  <c r="X63" i="45"/>
  <c r="N63" i="45"/>
  <c r="L63" i="45"/>
  <c r="B63" i="45"/>
  <c r="T62" i="45"/>
  <c r="P62" i="45"/>
  <c r="X62" i="45" s="1"/>
  <c r="N62" i="45"/>
  <c r="L62" i="45"/>
  <c r="H62" i="45"/>
  <c r="D62" i="45"/>
  <c r="B62" i="45"/>
  <c r="X61" i="45"/>
  <c r="Z61" i="45" s="1"/>
  <c r="N61" i="45"/>
  <c r="L61" i="45"/>
  <c r="B61" i="45"/>
  <c r="Z60" i="45"/>
  <c r="X60" i="45"/>
  <c r="T60" i="45"/>
  <c r="P60" i="45"/>
  <c r="L60" i="45"/>
  <c r="J60" i="45"/>
  <c r="H60" i="45"/>
  <c r="N60" i="45" s="1"/>
  <c r="D60" i="45"/>
  <c r="B60" i="45"/>
  <c r="Z59" i="45"/>
  <c r="X59" i="45"/>
  <c r="N59" i="45"/>
  <c r="L59" i="45"/>
  <c r="B59" i="45"/>
  <c r="X58" i="45"/>
  <c r="T58" i="45"/>
  <c r="Z58" i="45" s="1"/>
  <c r="P58" i="45"/>
  <c r="J58" i="45"/>
  <c r="H58" i="45"/>
  <c r="D58" i="45"/>
  <c r="L58" i="45" s="1"/>
  <c r="B58" i="45"/>
  <c r="X57" i="45"/>
  <c r="Z57" i="45" s="1"/>
  <c r="L57" i="45"/>
  <c r="N57" i="45" s="1"/>
  <c r="B57" i="45"/>
  <c r="T56" i="45"/>
  <c r="R56" i="45"/>
  <c r="P56" i="45"/>
  <c r="X56" i="45" s="1"/>
  <c r="H56" i="45"/>
  <c r="N56" i="45" s="1"/>
  <c r="D56" i="45"/>
  <c r="L56" i="45" s="1"/>
  <c r="B56" i="45"/>
  <c r="Z55" i="45"/>
  <c r="X55" i="45"/>
  <c r="L55" i="45"/>
  <c r="N55" i="45" s="1"/>
  <c r="B55" i="45"/>
  <c r="T54" i="45"/>
  <c r="Z54" i="45" s="1"/>
  <c r="P54" i="45"/>
  <c r="X54" i="45" s="1"/>
  <c r="N54" i="45"/>
  <c r="L54" i="45"/>
  <c r="H54" i="45"/>
  <c r="D54" i="45"/>
  <c r="B54" i="45"/>
  <c r="X53" i="45"/>
  <c r="Z53" i="45" s="1"/>
  <c r="N53" i="45"/>
  <c r="L53" i="45"/>
  <c r="B53" i="45"/>
  <c r="Z52" i="45"/>
  <c r="X52" i="45"/>
  <c r="T52" i="45"/>
  <c r="P52" i="45"/>
  <c r="N52" i="45"/>
  <c r="L52" i="45"/>
  <c r="J52" i="45"/>
  <c r="H52" i="45"/>
  <c r="D52" i="45"/>
  <c r="B52" i="45"/>
  <c r="X51" i="45"/>
  <c r="Z51" i="45" s="1"/>
  <c r="R51" i="45"/>
  <c r="N51" i="45"/>
  <c r="L51" i="45"/>
  <c r="B51" i="45"/>
  <c r="Z50" i="45"/>
  <c r="X50" i="45"/>
  <c r="T50" i="45"/>
  <c r="P50" i="45"/>
  <c r="J50" i="45"/>
  <c r="H50" i="45"/>
  <c r="N50" i="45" s="1"/>
  <c r="D50" i="45"/>
  <c r="L50" i="45" s="1"/>
  <c r="B50" i="45"/>
  <c r="Z49" i="45"/>
  <c r="X49" i="45"/>
  <c r="R49" i="45"/>
  <c r="N49" i="45"/>
  <c r="L49" i="45"/>
  <c r="B49" i="45"/>
  <c r="Z48" i="45"/>
  <c r="X48" i="45"/>
  <c r="N48" i="45"/>
  <c r="L48" i="45"/>
  <c r="B48" i="45"/>
  <c r="X47" i="45"/>
  <c r="Z47" i="45" s="1"/>
  <c r="N47" i="45"/>
  <c r="L47" i="45"/>
  <c r="B47" i="45"/>
  <c r="Z46" i="45"/>
  <c r="X46" i="45"/>
  <c r="N46" i="45"/>
  <c r="L46" i="45"/>
  <c r="B46" i="45"/>
  <c r="Z45" i="45"/>
  <c r="X45" i="45"/>
  <c r="N45" i="45"/>
  <c r="L45" i="45"/>
  <c r="B45" i="45"/>
  <c r="Z44" i="45"/>
  <c r="X44" i="45"/>
  <c r="L44" i="45"/>
  <c r="N44" i="45" s="1"/>
  <c r="J44" i="45"/>
  <c r="B44" i="45"/>
  <c r="Z43" i="45"/>
  <c r="X43" i="45"/>
  <c r="L43" i="45"/>
  <c r="N43" i="45" s="1"/>
  <c r="B43" i="45"/>
  <c r="Z42" i="45"/>
  <c r="X42" i="45"/>
  <c r="N42" i="45"/>
  <c r="L42" i="45"/>
  <c r="J42" i="45"/>
  <c r="B42" i="45"/>
  <c r="X41" i="45"/>
  <c r="Z41" i="45" s="1"/>
  <c r="L41" i="45"/>
  <c r="N41" i="45" s="1"/>
  <c r="B41" i="45"/>
  <c r="Z40" i="45"/>
  <c r="X40" i="45"/>
  <c r="N40" i="45"/>
  <c r="L40" i="45"/>
  <c r="B40" i="45"/>
  <c r="T39" i="45"/>
  <c r="P39" i="45"/>
  <c r="H39" i="45"/>
  <c r="D39" i="45"/>
  <c r="B39" i="45"/>
  <c r="X38" i="45"/>
  <c r="Z38" i="45" s="1"/>
  <c r="N38" i="45"/>
  <c r="L38" i="45"/>
  <c r="J38" i="45"/>
  <c r="B38" i="45"/>
  <c r="X37" i="45"/>
  <c r="Z37" i="45" s="1"/>
  <c r="L37" i="45"/>
  <c r="N37" i="45" s="1"/>
  <c r="B37" i="45"/>
  <c r="X36" i="45"/>
  <c r="Z36" i="45" s="1"/>
  <c r="N36" i="45"/>
  <c r="L36" i="45"/>
  <c r="B36" i="45"/>
  <c r="Z35" i="45"/>
  <c r="X35" i="45"/>
  <c r="N35" i="45"/>
  <c r="L35" i="45"/>
  <c r="B35" i="45"/>
  <c r="Z34" i="45"/>
  <c r="X34" i="45"/>
  <c r="N34" i="45"/>
  <c r="L34" i="45"/>
  <c r="B34" i="45"/>
  <c r="X33" i="45"/>
  <c r="Z33" i="45" s="1"/>
  <c r="L33" i="45"/>
  <c r="N33" i="45" s="1"/>
  <c r="B33" i="45"/>
  <c r="Z32" i="45"/>
  <c r="X32" i="45"/>
  <c r="L32" i="45"/>
  <c r="N32" i="45" s="1"/>
  <c r="J32" i="45"/>
  <c r="B32" i="45"/>
  <c r="Z31" i="45"/>
  <c r="X31" i="45"/>
  <c r="L31" i="45"/>
  <c r="N31" i="45" s="1"/>
  <c r="B31" i="45"/>
  <c r="Z30" i="45"/>
  <c r="X30" i="45"/>
  <c r="N30" i="45"/>
  <c r="L30" i="45"/>
  <c r="J30" i="45"/>
  <c r="B30" i="45"/>
  <c r="X29" i="45"/>
  <c r="Z29" i="45" s="1"/>
  <c r="R29" i="45"/>
  <c r="L29" i="45"/>
  <c r="N29" i="45" s="1"/>
  <c r="B29" i="45"/>
  <c r="T28" i="45"/>
  <c r="P28" i="45"/>
  <c r="X28" i="45" s="1"/>
  <c r="L28" i="45"/>
  <c r="H28" i="45"/>
  <c r="N28" i="45" s="1"/>
  <c r="D28" i="45"/>
  <c r="B28" i="45"/>
  <c r="T27" i="45" a="1"/>
  <c r="T27" i="45" s="1"/>
  <c r="P27" i="45" a="1"/>
  <c r="P27" i="45"/>
  <c r="H27" i="45" a="1"/>
  <c r="H27" i="45" s="1"/>
  <c r="D27" i="45" a="1"/>
  <c r="D27" i="45"/>
  <c r="P25" i="45"/>
  <c r="Z23" i="45"/>
  <c r="X23" i="45"/>
  <c r="R23" i="45"/>
  <c r="N23" i="45"/>
  <c r="L23" i="45"/>
  <c r="B23" i="45"/>
  <c r="Z22" i="45"/>
  <c r="X22" i="45"/>
  <c r="N22" i="45"/>
  <c r="L22" i="45"/>
  <c r="B22" i="45"/>
  <c r="X21" i="45"/>
  <c r="Z21" i="45" s="1"/>
  <c r="L21" i="45"/>
  <c r="N21" i="45" s="1"/>
  <c r="B21" i="45"/>
  <c r="T20" i="45"/>
  <c r="P20" i="45"/>
  <c r="X20" i="45" s="1"/>
  <c r="Z20" i="45" s="1"/>
  <c r="N20" i="45"/>
  <c r="L20" i="45"/>
  <c r="J20" i="45"/>
  <c r="H20" i="45"/>
  <c r="D20" i="45"/>
  <c r="Z18" i="45"/>
  <c r="P18" i="45"/>
  <c r="X18" i="45" s="1"/>
  <c r="N18" i="45"/>
  <c r="L18" i="45"/>
  <c r="D18" i="45"/>
  <c r="B18" i="45"/>
  <c r="Z17" i="45"/>
  <c r="X17" i="45"/>
  <c r="P17" i="45"/>
  <c r="N17" i="45"/>
  <c r="D17" i="45"/>
  <c r="L17" i="45" s="1"/>
  <c r="B17" i="45"/>
  <c r="Z16" i="45"/>
  <c r="P16" i="45"/>
  <c r="P12" i="45" s="1"/>
  <c r="R59" i="45" s="1"/>
  <c r="N16" i="45"/>
  <c r="L16" i="45"/>
  <c r="D16" i="45"/>
  <c r="B16" i="45"/>
  <c r="P15" i="45"/>
  <c r="X15" i="45" s="1"/>
  <c r="Z15" i="45" s="1"/>
  <c r="D15" i="45"/>
  <c r="L15" i="45" s="1"/>
  <c r="N15" i="45" s="1"/>
  <c r="B15" i="45"/>
  <c r="Z14" i="45"/>
  <c r="P14" i="45"/>
  <c r="X14" i="45" s="1"/>
  <c r="N14" i="45"/>
  <c r="L14" i="45"/>
  <c r="D14" i="45"/>
  <c r="B14" i="45"/>
  <c r="Z13" i="45"/>
  <c r="X13" i="45"/>
  <c r="P13" i="45"/>
  <c r="N13" i="45"/>
  <c r="D13" i="45"/>
  <c r="L13" i="45" s="1"/>
  <c r="B13" i="45"/>
  <c r="T12" i="45"/>
  <c r="H12" i="45"/>
  <c r="J93" i="45" s="1"/>
  <c r="D4" i="45"/>
  <c r="B39" i="44"/>
  <c r="B38" i="44"/>
  <c r="T34" i="44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Z12" i="44" s="1"/>
  <c r="P12" i="44"/>
  <c r="R34" i="44" s="1"/>
  <c r="H12" i="44"/>
  <c r="J36" i="44" s="1"/>
  <c r="D12" i="44"/>
  <c r="F21" i="44" s="1"/>
  <c r="D5" i="44"/>
  <c r="D4" i="44"/>
  <c r="B39" i="43"/>
  <c r="B38" i="43"/>
  <c r="T34" i="43"/>
  <c r="Z34" i="43" s="1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P13" i="43"/>
  <c r="H13" i="43"/>
  <c r="N13" i="43" s="1"/>
  <c r="D13" i="43"/>
  <c r="B13" i="43"/>
  <c r="T12" i="43"/>
  <c r="V24" i="43" s="1"/>
  <c r="P12" i="43"/>
  <c r="R20" i="43" s="1"/>
  <c r="H12" i="43"/>
  <c r="J18" i="43" s="1"/>
  <c r="D12" i="43"/>
  <c r="D5" i="43"/>
  <c r="D4" i="43"/>
  <c r="Z118" i="42"/>
  <c r="X118" i="42"/>
  <c r="L118" i="42"/>
  <c r="N118" i="42" s="1"/>
  <c r="Z114" i="42"/>
  <c r="X114" i="42"/>
  <c r="P114" i="42"/>
  <c r="N114" i="42"/>
  <c r="D114" i="42"/>
  <c r="L114" i="42" s="1"/>
  <c r="B114" i="42"/>
  <c r="Z113" i="42"/>
  <c r="P113" i="42"/>
  <c r="X113" i="42" s="1"/>
  <c r="L113" i="42"/>
  <c r="N113" i="42" s="1"/>
  <c r="D113" i="42"/>
  <c r="B113" i="42"/>
  <c r="P112" i="42"/>
  <c r="X112" i="42" s="1"/>
  <c r="Z112" i="42" s="1"/>
  <c r="N112" i="42"/>
  <c r="D112" i="42"/>
  <c r="L112" i="42" s="1"/>
  <c r="B112" i="42"/>
  <c r="Z111" i="42"/>
  <c r="X111" i="42"/>
  <c r="P111" i="42"/>
  <c r="N111" i="42"/>
  <c r="D111" i="42"/>
  <c r="L111" i="42" s="1"/>
  <c r="B111" i="42"/>
  <c r="T110" i="42"/>
  <c r="P110" i="42"/>
  <c r="X110" i="42" s="1"/>
  <c r="H110" i="42"/>
  <c r="X108" i="42"/>
  <c r="Z108" i="42" s="1"/>
  <c r="L108" i="42"/>
  <c r="N108" i="42" s="1"/>
  <c r="B108" i="42"/>
  <c r="Z107" i="42"/>
  <c r="X107" i="42"/>
  <c r="T107" i="42"/>
  <c r="P107" i="42"/>
  <c r="H107" i="42"/>
  <c r="D107" i="42"/>
  <c r="B107" i="42"/>
  <c r="Z106" i="42"/>
  <c r="X106" i="42"/>
  <c r="N106" i="42"/>
  <c r="L106" i="42"/>
  <c r="B106" i="42"/>
  <c r="X105" i="42"/>
  <c r="Z105" i="42" s="1"/>
  <c r="N105" i="42"/>
  <c r="L105" i="42"/>
  <c r="B105" i="42"/>
  <c r="X104" i="42"/>
  <c r="T104" i="42"/>
  <c r="P104" i="42"/>
  <c r="H104" i="42"/>
  <c r="N104" i="42" s="1"/>
  <c r="D104" i="42"/>
  <c r="L104" i="42" s="1"/>
  <c r="B104" i="42"/>
  <c r="X103" i="42"/>
  <c r="Z103" i="42" s="1"/>
  <c r="N103" i="42"/>
  <c r="L103" i="42"/>
  <c r="B103" i="42"/>
  <c r="T102" i="42"/>
  <c r="P102" i="42"/>
  <c r="X102" i="42" s="1"/>
  <c r="H102" i="42"/>
  <c r="N102" i="42" s="1"/>
  <c r="D102" i="42"/>
  <c r="L102" i="42" s="1"/>
  <c r="B102" i="42"/>
  <c r="Z101" i="42"/>
  <c r="X101" i="42"/>
  <c r="L101" i="42"/>
  <c r="N101" i="42" s="1"/>
  <c r="B101" i="42"/>
  <c r="X100" i="42"/>
  <c r="Z100" i="42" s="1"/>
  <c r="L100" i="42"/>
  <c r="N100" i="42" s="1"/>
  <c r="B100" i="42"/>
  <c r="T99" i="42"/>
  <c r="Z99" i="42" s="1"/>
  <c r="P99" i="42"/>
  <c r="X99" i="42" s="1"/>
  <c r="H99" i="42"/>
  <c r="D99" i="42"/>
  <c r="L99" i="42" s="1"/>
  <c r="N99" i="42" s="1"/>
  <c r="B99" i="42"/>
  <c r="X98" i="42"/>
  <c r="Z98" i="42" s="1"/>
  <c r="N98" i="42"/>
  <c r="L98" i="42"/>
  <c r="B98" i="42"/>
  <c r="Z97" i="42"/>
  <c r="X97" i="42"/>
  <c r="N97" i="42"/>
  <c r="L97" i="42"/>
  <c r="B97" i="42"/>
  <c r="Z96" i="42"/>
  <c r="X96" i="42"/>
  <c r="L96" i="42"/>
  <c r="N96" i="42" s="1"/>
  <c r="B96" i="42"/>
  <c r="Z95" i="42"/>
  <c r="X95" i="42"/>
  <c r="N95" i="42"/>
  <c r="L95" i="42"/>
  <c r="B95" i="42"/>
  <c r="X94" i="42"/>
  <c r="Z94" i="42" s="1"/>
  <c r="L94" i="42"/>
  <c r="N94" i="42" s="1"/>
  <c r="B94" i="42"/>
  <c r="Z93" i="42"/>
  <c r="X93" i="42"/>
  <c r="N93" i="42"/>
  <c r="L93" i="42"/>
  <c r="B93" i="42"/>
  <c r="X92" i="42"/>
  <c r="Z92" i="42" s="1"/>
  <c r="N92" i="42"/>
  <c r="L92" i="42"/>
  <c r="B92" i="42"/>
  <c r="Z91" i="42"/>
  <c r="X91" i="42"/>
  <c r="N91" i="42"/>
  <c r="L91" i="42"/>
  <c r="B91" i="42"/>
  <c r="X90" i="42"/>
  <c r="Z90" i="42" s="1"/>
  <c r="L90" i="42"/>
  <c r="N90" i="42" s="1"/>
  <c r="B90" i="42"/>
  <c r="Z89" i="42"/>
  <c r="X89" i="42"/>
  <c r="N89" i="42"/>
  <c r="L89" i="42"/>
  <c r="B89" i="42"/>
  <c r="T88" i="42"/>
  <c r="P88" i="42"/>
  <c r="L88" i="42"/>
  <c r="N88" i="42" s="1"/>
  <c r="H88" i="42"/>
  <c r="D88" i="42"/>
  <c r="B88" i="42"/>
  <c r="Z87" i="42"/>
  <c r="X87" i="42"/>
  <c r="L87" i="42"/>
  <c r="N87" i="42" s="1"/>
  <c r="B87" i="42"/>
  <c r="T86" i="42"/>
  <c r="P86" i="42"/>
  <c r="X86" i="42" s="1"/>
  <c r="Z86" i="42" s="1"/>
  <c r="L86" i="42"/>
  <c r="H86" i="42"/>
  <c r="D86" i="42"/>
  <c r="B86" i="42"/>
  <c r="Z85" i="42"/>
  <c r="X85" i="42"/>
  <c r="N85" i="42"/>
  <c r="L85" i="42"/>
  <c r="B85" i="42"/>
  <c r="X84" i="42"/>
  <c r="Z84" i="42" s="1"/>
  <c r="L84" i="42"/>
  <c r="N84" i="42" s="1"/>
  <c r="B84" i="42"/>
  <c r="X83" i="42"/>
  <c r="Z83" i="42" s="1"/>
  <c r="N83" i="42"/>
  <c r="L83" i="42"/>
  <c r="B83" i="42"/>
  <c r="Z82" i="42"/>
  <c r="X82" i="42"/>
  <c r="L82" i="42"/>
  <c r="N82" i="42" s="1"/>
  <c r="B82" i="42"/>
  <c r="Z81" i="42"/>
  <c r="X81" i="42"/>
  <c r="N81" i="42"/>
  <c r="L81" i="42"/>
  <c r="B81" i="42"/>
  <c r="T80" i="42"/>
  <c r="P80" i="42"/>
  <c r="X80" i="42" s="1"/>
  <c r="N80" i="42"/>
  <c r="L80" i="42"/>
  <c r="H80" i="42"/>
  <c r="D80" i="42"/>
  <c r="B80" i="42"/>
  <c r="Z79" i="42"/>
  <c r="X79" i="42"/>
  <c r="N79" i="42"/>
  <c r="L79" i="42"/>
  <c r="B79" i="42"/>
  <c r="Z78" i="42"/>
  <c r="T78" i="42"/>
  <c r="P78" i="42"/>
  <c r="X78" i="42" s="1"/>
  <c r="H78" i="42"/>
  <c r="D78" i="42"/>
  <c r="B78" i="42"/>
  <c r="Z77" i="42"/>
  <c r="X77" i="42"/>
  <c r="N77" i="42"/>
  <c r="L77" i="42"/>
  <c r="B77" i="42"/>
  <c r="X76" i="42"/>
  <c r="Z76" i="42" s="1"/>
  <c r="N76" i="42"/>
  <c r="L76" i="42"/>
  <c r="B76" i="42"/>
  <c r="X75" i="42"/>
  <c r="Z75" i="42" s="1"/>
  <c r="N75" i="42"/>
  <c r="L75" i="42"/>
  <c r="B75" i="42"/>
  <c r="Z74" i="42"/>
  <c r="X74" i="42"/>
  <c r="N74" i="42"/>
  <c r="L74" i="42"/>
  <c r="B74" i="42"/>
  <c r="Z73" i="42"/>
  <c r="T73" i="42"/>
  <c r="P73" i="42"/>
  <c r="X73" i="42" s="1"/>
  <c r="L73" i="42"/>
  <c r="N73" i="42" s="1"/>
  <c r="H73" i="42"/>
  <c r="D73" i="42"/>
  <c r="B73" i="42"/>
  <c r="Z72" i="42"/>
  <c r="X72" i="42"/>
  <c r="L72" i="42"/>
  <c r="N72" i="42" s="1"/>
  <c r="B72" i="42"/>
  <c r="X71" i="42"/>
  <c r="Z71" i="42" s="1"/>
  <c r="T71" i="42"/>
  <c r="P71" i="42"/>
  <c r="H71" i="42"/>
  <c r="L71" i="42" s="1"/>
  <c r="N71" i="42" s="1"/>
  <c r="D71" i="42"/>
  <c r="B71" i="42"/>
  <c r="Z70" i="42"/>
  <c r="X70" i="42"/>
  <c r="N70" i="42"/>
  <c r="L70" i="42"/>
  <c r="B70" i="42"/>
  <c r="X69" i="42"/>
  <c r="T69" i="42"/>
  <c r="Z69" i="42" s="1"/>
  <c r="P69" i="42"/>
  <c r="L69" i="42"/>
  <c r="H69" i="42"/>
  <c r="N69" i="42" s="1"/>
  <c r="D69" i="42"/>
  <c r="B69" i="42"/>
  <c r="Z68" i="42"/>
  <c r="X68" i="42"/>
  <c r="L68" i="42"/>
  <c r="N68" i="42" s="1"/>
  <c r="B68" i="42"/>
  <c r="X67" i="42"/>
  <c r="Z67" i="42" s="1"/>
  <c r="T67" i="42"/>
  <c r="P67" i="42"/>
  <c r="H67" i="42"/>
  <c r="D67" i="42"/>
  <c r="B67" i="42"/>
  <c r="Z66" i="42"/>
  <c r="X66" i="42"/>
  <c r="N66" i="42"/>
  <c r="L66" i="42"/>
  <c r="B66" i="42"/>
  <c r="T65" i="42"/>
  <c r="P65" i="42"/>
  <c r="H65" i="42"/>
  <c r="D65" i="42"/>
  <c r="L65" i="42" s="1"/>
  <c r="B65" i="42"/>
  <c r="X64" i="42"/>
  <c r="Z64" i="42" s="1"/>
  <c r="N64" i="42"/>
  <c r="L64" i="42"/>
  <c r="J64" i="42"/>
  <c r="B64" i="42"/>
  <c r="X63" i="42"/>
  <c r="Z63" i="42" s="1"/>
  <c r="N63" i="42"/>
  <c r="L63" i="42"/>
  <c r="B63" i="42"/>
  <c r="T62" i="42"/>
  <c r="X62" i="42" s="1"/>
  <c r="Z62" i="42" s="1"/>
  <c r="P62" i="42"/>
  <c r="L62" i="42"/>
  <c r="H62" i="42"/>
  <c r="N62" i="42" s="1"/>
  <c r="D62" i="42"/>
  <c r="B62" i="42"/>
  <c r="X61" i="42"/>
  <c r="Z61" i="42" s="1"/>
  <c r="L61" i="42"/>
  <c r="N61" i="42" s="1"/>
  <c r="B61" i="42"/>
  <c r="X60" i="42"/>
  <c r="T60" i="42"/>
  <c r="Z60" i="42" s="1"/>
  <c r="P60" i="42"/>
  <c r="N60" i="42"/>
  <c r="H60" i="42"/>
  <c r="D60" i="42"/>
  <c r="L60" i="42" s="1"/>
  <c r="B60" i="42"/>
  <c r="X59" i="42"/>
  <c r="Z59" i="42" s="1"/>
  <c r="L59" i="42"/>
  <c r="N59" i="42" s="1"/>
  <c r="B59" i="42"/>
  <c r="Z58" i="42"/>
  <c r="T58" i="42"/>
  <c r="P58" i="42"/>
  <c r="X58" i="42" s="1"/>
  <c r="H58" i="42"/>
  <c r="D58" i="42"/>
  <c r="L58" i="42" s="1"/>
  <c r="N58" i="42" s="1"/>
  <c r="B58" i="42"/>
  <c r="X57" i="42"/>
  <c r="Z57" i="42" s="1"/>
  <c r="N57" i="42"/>
  <c r="L57" i="42"/>
  <c r="B57" i="42"/>
  <c r="Z56" i="42"/>
  <c r="X56" i="42"/>
  <c r="N56" i="42"/>
  <c r="L56" i="42"/>
  <c r="B56" i="42"/>
  <c r="X55" i="42"/>
  <c r="Z55" i="42" s="1"/>
  <c r="T55" i="42"/>
  <c r="P55" i="42"/>
  <c r="L55" i="42"/>
  <c r="H55" i="42"/>
  <c r="D55" i="42"/>
  <c r="B55" i="42"/>
  <c r="Z54" i="42"/>
  <c r="X54" i="42"/>
  <c r="N54" i="42"/>
  <c r="L54" i="42"/>
  <c r="B54" i="42"/>
  <c r="X53" i="42"/>
  <c r="T53" i="42"/>
  <c r="P53" i="42"/>
  <c r="H53" i="42"/>
  <c r="D53" i="42"/>
  <c r="L53" i="42" s="1"/>
  <c r="B53" i="42"/>
  <c r="X52" i="42"/>
  <c r="Z52" i="42" s="1"/>
  <c r="N52" i="42"/>
  <c r="L52" i="42"/>
  <c r="B52" i="42"/>
  <c r="T51" i="42"/>
  <c r="P51" i="42"/>
  <c r="X51" i="42" s="1"/>
  <c r="H51" i="42"/>
  <c r="N51" i="42" s="1"/>
  <c r="D51" i="42"/>
  <c r="L51" i="42" s="1"/>
  <c r="B51" i="42"/>
  <c r="Z50" i="42"/>
  <c r="X50" i="42"/>
  <c r="N50" i="42"/>
  <c r="L50" i="42"/>
  <c r="B50" i="42"/>
  <c r="T49" i="42"/>
  <c r="Z49" i="42" s="1"/>
  <c r="P49" i="42"/>
  <c r="X49" i="42" s="1"/>
  <c r="N49" i="42"/>
  <c r="L49" i="42"/>
  <c r="H49" i="42"/>
  <c r="D49" i="42"/>
  <c r="B49" i="42"/>
  <c r="Z48" i="42"/>
  <c r="X48" i="42"/>
  <c r="N48" i="42"/>
  <c r="L48" i="42"/>
  <c r="B48" i="42"/>
  <c r="Z47" i="42"/>
  <c r="X47" i="42"/>
  <c r="N47" i="42"/>
  <c r="L47" i="42"/>
  <c r="B47" i="42"/>
  <c r="Z46" i="42"/>
  <c r="X46" i="42"/>
  <c r="N46" i="42"/>
  <c r="L46" i="42"/>
  <c r="B46" i="42"/>
  <c r="X45" i="42"/>
  <c r="Z45" i="42" s="1"/>
  <c r="L45" i="42"/>
  <c r="N45" i="42" s="1"/>
  <c r="B45" i="42"/>
  <c r="Z44" i="42"/>
  <c r="X44" i="42"/>
  <c r="N44" i="42"/>
  <c r="L44" i="42"/>
  <c r="B44" i="42"/>
  <c r="X43" i="42"/>
  <c r="Z43" i="42" s="1"/>
  <c r="L43" i="42"/>
  <c r="N43" i="42" s="1"/>
  <c r="B43" i="42"/>
  <c r="Z42" i="42"/>
  <c r="X42" i="42"/>
  <c r="N42" i="42"/>
  <c r="L42" i="42"/>
  <c r="B42" i="42"/>
  <c r="Z41" i="42"/>
  <c r="X41" i="42"/>
  <c r="N41" i="42"/>
  <c r="L41" i="42"/>
  <c r="B41" i="42"/>
  <c r="Z40" i="42"/>
  <c r="X40" i="42"/>
  <c r="L40" i="42"/>
  <c r="N40" i="42" s="1"/>
  <c r="B40" i="42"/>
  <c r="X39" i="42"/>
  <c r="Z39" i="42" s="1"/>
  <c r="L39" i="42"/>
  <c r="N39" i="42" s="1"/>
  <c r="B39" i="42"/>
  <c r="T38" i="42"/>
  <c r="P38" i="42"/>
  <c r="X38" i="42" s="1"/>
  <c r="Z38" i="42" s="1"/>
  <c r="H38" i="42"/>
  <c r="D38" i="42"/>
  <c r="L38" i="42" s="1"/>
  <c r="N38" i="42" s="1"/>
  <c r="B38" i="42"/>
  <c r="X37" i="42"/>
  <c r="Z37" i="42" s="1"/>
  <c r="L37" i="42"/>
  <c r="N37" i="42" s="1"/>
  <c r="B37" i="42"/>
  <c r="Z36" i="42"/>
  <c r="X36" i="42"/>
  <c r="V36" i="42"/>
  <c r="L36" i="42"/>
  <c r="N36" i="42" s="1"/>
  <c r="B36" i="42"/>
  <c r="X35" i="42"/>
  <c r="Z35" i="42" s="1"/>
  <c r="L35" i="42"/>
  <c r="N35" i="42" s="1"/>
  <c r="B35" i="42"/>
  <c r="Z34" i="42"/>
  <c r="X34" i="42"/>
  <c r="N34" i="42"/>
  <c r="L34" i="42"/>
  <c r="B34" i="42"/>
  <c r="Z33" i="42"/>
  <c r="X33" i="42"/>
  <c r="N33" i="42"/>
  <c r="L33" i="42"/>
  <c r="B33" i="42"/>
  <c r="X32" i="42"/>
  <c r="Z32" i="42" s="1"/>
  <c r="N32" i="42"/>
  <c r="L32" i="42"/>
  <c r="B32" i="42"/>
  <c r="X31" i="42"/>
  <c r="Z31" i="42" s="1"/>
  <c r="L31" i="42"/>
  <c r="N31" i="42" s="1"/>
  <c r="B31" i="42"/>
  <c r="Z30" i="42"/>
  <c r="X30" i="42"/>
  <c r="N30" i="42"/>
  <c r="L30" i="42"/>
  <c r="B30" i="42"/>
  <c r="X29" i="42"/>
  <c r="Z29" i="42" s="1"/>
  <c r="L29" i="42"/>
  <c r="N29" i="42" s="1"/>
  <c r="B29" i="42"/>
  <c r="Z28" i="42"/>
  <c r="X28" i="42"/>
  <c r="V28" i="42"/>
  <c r="L28" i="42"/>
  <c r="N28" i="42" s="1"/>
  <c r="B28" i="42"/>
  <c r="X27" i="42"/>
  <c r="Z27" i="42" s="1"/>
  <c r="T27" i="42"/>
  <c r="P27" i="42"/>
  <c r="L27" i="42"/>
  <c r="H27" i="42"/>
  <c r="D27" i="42"/>
  <c r="B27" i="42"/>
  <c r="T26" i="42" a="1"/>
  <c r="T26" i="42"/>
  <c r="P26" i="42" a="1"/>
  <c r="P26" i="42"/>
  <c r="X26" i="42" s="1"/>
  <c r="H26" i="42" a="1"/>
  <c r="H26" i="42"/>
  <c r="D26" i="42" a="1"/>
  <c r="D26" i="42"/>
  <c r="Z22" i="42"/>
  <c r="X22" i="42"/>
  <c r="N22" i="42"/>
  <c r="L22" i="42"/>
  <c r="B22" i="42"/>
  <c r="Z21" i="42"/>
  <c r="X21" i="42"/>
  <c r="N21" i="42"/>
  <c r="L21" i="42"/>
  <c r="B21" i="42"/>
  <c r="X20" i="42"/>
  <c r="Z20" i="42" s="1"/>
  <c r="N20" i="42"/>
  <c r="L20" i="42"/>
  <c r="B20" i="42"/>
  <c r="T19" i="42"/>
  <c r="P19" i="42"/>
  <c r="H19" i="42"/>
  <c r="D19" i="42"/>
  <c r="L19" i="42" s="1"/>
  <c r="Z17" i="42"/>
  <c r="X17" i="42"/>
  <c r="P17" i="42"/>
  <c r="N17" i="42"/>
  <c r="D17" i="42"/>
  <c r="L17" i="42" s="1"/>
  <c r="B17" i="42"/>
  <c r="P16" i="42"/>
  <c r="X16" i="42" s="1"/>
  <c r="Z16" i="42" s="1"/>
  <c r="D16" i="42"/>
  <c r="L16" i="42" s="1"/>
  <c r="N16" i="42" s="1"/>
  <c r="B16" i="42"/>
  <c r="Z15" i="42"/>
  <c r="X15" i="42"/>
  <c r="P15" i="42"/>
  <c r="N15" i="42"/>
  <c r="D15" i="42"/>
  <c r="L15" i="42" s="1"/>
  <c r="B15" i="42"/>
  <c r="Z14" i="42"/>
  <c r="P14" i="42"/>
  <c r="N14" i="42"/>
  <c r="L14" i="42"/>
  <c r="D14" i="42"/>
  <c r="B14" i="42"/>
  <c r="X13" i="42"/>
  <c r="Z13" i="42" s="1"/>
  <c r="P13" i="42"/>
  <c r="D13" i="42"/>
  <c r="B13" i="42"/>
  <c r="T12" i="42"/>
  <c r="H12" i="42"/>
  <c r="J71" i="42" s="1"/>
  <c r="D4" i="42"/>
  <c r="B39" i="41"/>
  <c r="B38" i="41"/>
  <c r="T34" i="41"/>
  <c r="Z34" i="41" s="1"/>
  <c r="P34" i="41"/>
  <c r="H34" i="41"/>
  <c r="N34" i="41" s="1"/>
  <c r="D34" i="41"/>
  <c r="L34" i="41" s="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L29" i="41" s="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D22" i="41"/>
  <c r="B22" i="41"/>
  <c r="T21" i="4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4" i="41" s="1"/>
  <c r="P12" i="41"/>
  <c r="R36" i="41" s="1"/>
  <c r="H12" i="41"/>
  <c r="D12" i="41"/>
  <c r="F25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D15" i="40"/>
  <c r="T13" i="40"/>
  <c r="P13" i="40"/>
  <c r="H13" i="40"/>
  <c r="D13" i="40"/>
  <c r="B13" i="40"/>
  <c r="T12" i="40"/>
  <c r="V22" i="40" s="1"/>
  <c r="P12" i="40"/>
  <c r="R34" i="40" s="1"/>
  <c r="H12" i="40"/>
  <c r="J29" i="40" s="1"/>
  <c r="D12" i="40"/>
  <c r="F22" i="40" s="1"/>
  <c r="D5" i="40"/>
  <c r="D4" i="40"/>
  <c r="X120" i="39"/>
  <c r="Z120" i="39" s="1"/>
  <c r="L120" i="39"/>
  <c r="N120" i="39" s="1"/>
  <c r="J120" i="39"/>
  <c r="F120" i="39"/>
  <c r="Z116" i="39"/>
  <c r="X116" i="39"/>
  <c r="R116" i="39"/>
  <c r="P116" i="39"/>
  <c r="N116" i="39"/>
  <c r="L116" i="39"/>
  <c r="J116" i="39"/>
  <c r="D116" i="39"/>
  <c r="B116" i="39"/>
  <c r="V115" i="39"/>
  <c r="P115" i="39"/>
  <c r="X115" i="39" s="1"/>
  <c r="Z115" i="39" s="1"/>
  <c r="L115" i="39"/>
  <c r="N115" i="39" s="1"/>
  <c r="J115" i="39"/>
  <c r="D115" i="39"/>
  <c r="B115" i="39"/>
  <c r="X114" i="39"/>
  <c r="Z114" i="39" s="1"/>
  <c r="P114" i="39"/>
  <c r="N114" i="39"/>
  <c r="J114" i="39"/>
  <c r="D114" i="39"/>
  <c r="L114" i="39" s="1"/>
  <c r="B114" i="39"/>
  <c r="V113" i="39"/>
  <c r="P113" i="39"/>
  <c r="N113" i="39"/>
  <c r="L113" i="39"/>
  <c r="D113" i="39"/>
  <c r="B113" i="39"/>
  <c r="T112" i="39"/>
  <c r="H112" i="39"/>
  <c r="D112" i="39"/>
  <c r="L112" i="39" s="1"/>
  <c r="X110" i="39"/>
  <c r="Z110" i="39" s="1"/>
  <c r="L110" i="39"/>
  <c r="N110" i="39" s="1"/>
  <c r="B110" i="39"/>
  <c r="X109" i="39"/>
  <c r="Z109" i="39" s="1"/>
  <c r="V109" i="39"/>
  <c r="T109" i="39"/>
  <c r="R109" i="39"/>
  <c r="P109" i="39"/>
  <c r="H109" i="39"/>
  <c r="L109" i="39" s="1"/>
  <c r="N109" i="39" s="1"/>
  <c r="D109" i="39"/>
  <c r="B109" i="39"/>
  <c r="Z108" i="39"/>
  <c r="X108" i="39"/>
  <c r="N108" i="39"/>
  <c r="L108" i="39"/>
  <c r="B108" i="39"/>
  <c r="Z107" i="39"/>
  <c r="X107" i="39"/>
  <c r="N107" i="39"/>
  <c r="L107" i="39"/>
  <c r="J107" i="39"/>
  <c r="B107" i="39"/>
  <c r="T106" i="39"/>
  <c r="P106" i="39"/>
  <c r="X106" i="39" s="1"/>
  <c r="N106" i="39"/>
  <c r="H106" i="39"/>
  <c r="D106" i="39"/>
  <c r="L106" i="39" s="1"/>
  <c r="B106" i="39"/>
  <c r="Z105" i="39"/>
  <c r="X105" i="39"/>
  <c r="V105" i="39"/>
  <c r="N105" i="39"/>
  <c r="L105" i="39"/>
  <c r="J105" i="39"/>
  <c r="B105" i="39"/>
  <c r="X104" i="39"/>
  <c r="Z104" i="39" s="1"/>
  <c r="T104" i="39"/>
  <c r="P104" i="39"/>
  <c r="L104" i="39"/>
  <c r="H104" i="39"/>
  <c r="N104" i="39" s="1"/>
  <c r="D104" i="39"/>
  <c r="B104" i="39"/>
  <c r="Z103" i="39"/>
  <c r="X103" i="39"/>
  <c r="V103" i="39"/>
  <c r="N103" i="39"/>
  <c r="L103" i="39"/>
  <c r="B103" i="39"/>
  <c r="X102" i="39"/>
  <c r="Z102" i="39" s="1"/>
  <c r="L102" i="39"/>
  <c r="N102" i="39" s="1"/>
  <c r="J102" i="39"/>
  <c r="B102" i="39"/>
  <c r="Z101" i="39"/>
  <c r="V101" i="39"/>
  <c r="T101" i="39"/>
  <c r="P101" i="39"/>
  <c r="X101" i="39" s="1"/>
  <c r="N101" i="39"/>
  <c r="J101" i="39"/>
  <c r="H101" i="39"/>
  <c r="L101" i="39" s="1"/>
  <c r="D101" i="39"/>
  <c r="B101" i="39"/>
  <c r="X100" i="39"/>
  <c r="Z100" i="39" s="1"/>
  <c r="N100" i="39"/>
  <c r="L100" i="39"/>
  <c r="B100" i="39"/>
  <c r="Z99" i="39"/>
  <c r="X99" i="39"/>
  <c r="V99" i="39"/>
  <c r="N99" i="39"/>
  <c r="L99" i="39"/>
  <c r="B99" i="39"/>
  <c r="X98" i="39"/>
  <c r="Z98" i="39" s="1"/>
  <c r="L98" i="39"/>
  <c r="N98" i="39" s="1"/>
  <c r="J98" i="39"/>
  <c r="B98" i="39"/>
  <c r="Z97" i="39"/>
  <c r="X97" i="39"/>
  <c r="V97" i="39"/>
  <c r="N97" i="39"/>
  <c r="L97" i="39"/>
  <c r="J97" i="39"/>
  <c r="B97" i="39"/>
  <c r="X96" i="39"/>
  <c r="Z96" i="39" s="1"/>
  <c r="L96" i="39"/>
  <c r="N96" i="39" s="1"/>
  <c r="F96" i="39"/>
  <c r="B96" i="39"/>
  <c r="Z95" i="39"/>
  <c r="X95" i="39"/>
  <c r="N95" i="39"/>
  <c r="L95" i="39"/>
  <c r="J95" i="39"/>
  <c r="B95" i="39"/>
  <c r="X94" i="39"/>
  <c r="Z94" i="39" s="1"/>
  <c r="N94" i="39"/>
  <c r="L94" i="39"/>
  <c r="B94" i="39"/>
  <c r="X93" i="39"/>
  <c r="Z93" i="39" s="1"/>
  <c r="V93" i="39"/>
  <c r="N93" i="39"/>
  <c r="L93" i="39"/>
  <c r="J93" i="39"/>
  <c r="B93" i="39"/>
  <c r="X92" i="39"/>
  <c r="Z92" i="39" s="1"/>
  <c r="L92" i="39"/>
  <c r="N92" i="39" s="1"/>
  <c r="B92" i="39"/>
  <c r="Z91" i="39"/>
  <c r="X91" i="39"/>
  <c r="V91" i="39"/>
  <c r="N91" i="39"/>
  <c r="L91" i="39"/>
  <c r="B91" i="39"/>
  <c r="X90" i="39"/>
  <c r="T90" i="39"/>
  <c r="P90" i="39"/>
  <c r="H90" i="39"/>
  <c r="D90" i="39"/>
  <c r="L90" i="39" s="1"/>
  <c r="B90" i="39"/>
  <c r="X89" i="39"/>
  <c r="Z89" i="39" s="1"/>
  <c r="V89" i="39"/>
  <c r="N89" i="39"/>
  <c r="L89" i="39"/>
  <c r="J89" i="39"/>
  <c r="B89" i="39"/>
  <c r="T88" i="39"/>
  <c r="P88" i="39"/>
  <c r="X88" i="39" s="1"/>
  <c r="H88" i="39"/>
  <c r="D88" i="39"/>
  <c r="B88" i="39"/>
  <c r="Z87" i="39"/>
  <c r="X87" i="39"/>
  <c r="N87" i="39"/>
  <c r="L87" i="39"/>
  <c r="J87" i="39"/>
  <c r="B87" i="39"/>
  <c r="X86" i="39"/>
  <c r="Z86" i="39" s="1"/>
  <c r="R86" i="39"/>
  <c r="L86" i="39"/>
  <c r="N86" i="39" s="1"/>
  <c r="B86" i="39"/>
  <c r="X85" i="39"/>
  <c r="Z85" i="39" s="1"/>
  <c r="V85" i="39"/>
  <c r="N85" i="39"/>
  <c r="L85" i="39"/>
  <c r="J85" i="39"/>
  <c r="B85" i="39"/>
  <c r="X84" i="39"/>
  <c r="Z84" i="39" s="1"/>
  <c r="L84" i="39"/>
  <c r="N84" i="39" s="1"/>
  <c r="B84" i="39"/>
  <c r="Z83" i="39"/>
  <c r="X83" i="39"/>
  <c r="V83" i="39"/>
  <c r="N83" i="39"/>
  <c r="L83" i="39"/>
  <c r="B83" i="39"/>
  <c r="X82" i="39"/>
  <c r="T82" i="39"/>
  <c r="P82" i="39"/>
  <c r="H82" i="39"/>
  <c r="D82" i="39"/>
  <c r="B82" i="39"/>
  <c r="X81" i="39"/>
  <c r="Z81" i="39" s="1"/>
  <c r="V81" i="39"/>
  <c r="N81" i="39"/>
  <c r="L81" i="39"/>
  <c r="J81" i="39"/>
  <c r="B81" i="39"/>
  <c r="Z80" i="39"/>
  <c r="X80" i="39"/>
  <c r="N80" i="39"/>
  <c r="L80" i="39"/>
  <c r="B80" i="39"/>
  <c r="Z79" i="39"/>
  <c r="V79" i="39"/>
  <c r="T79" i="39"/>
  <c r="P79" i="39"/>
  <c r="X79" i="39" s="1"/>
  <c r="L79" i="39"/>
  <c r="N79" i="39" s="1"/>
  <c r="J79" i="39"/>
  <c r="H79" i="39"/>
  <c r="D79" i="39"/>
  <c r="B79" i="39"/>
  <c r="X78" i="39"/>
  <c r="Z78" i="39" s="1"/>
  <c r="L78" i="39"/>
  <c r="N78" i="39" s="1"/>
  <c r="B78" i="39"/>
  <c r="X77" i="39"/>
  <c r="Z77" i="39" s="1"/>
  <c r="V77" i="39"/>
  <c r="N77" i="39"/>
  <c r="L77" i="39"/>
  <c r="J77" i="39"/>
  <c r="B77" i="39"/>
  <c r="X76" i="39"/>
  <c r="Z76" i="39" s="1"/>
  <c r="N76" i="39"/>
  <c r="L76" i="39"/>
  <c r="B76" i="39"/>
  <c r="Z75" i="39"/>
  <c r="X75" i="39"/>
  <c r="V75" i="39"/>
  <c r="N75" i="39"/>
  <c r="L75" i="39"/>
  <c r="B75" i="39"/>
  <c r="X74" i="39"/>
  <c r="T74" i="39"/>
  <c r="P74" i="39"/>
  <c r="H74" i="39"/>
  <c r="D74" i="39"/>
  <c r="L74" i="39" s="1"/>
  <c r="B74" i="39"/>
  <c r="X73" i="39"/>
  <c r="Z73" i="39" s="1"/>
  <c r="V73" i="39"/>
  <c r="N73" i="39"/>
  <c r="L73" i="39"/>
  <c r="J73" i="39"/>
  <c r="B73" i="39"/>
  <c r="T72" i="39"/>
  <c r="P72" i="39"/>
  <c r="X72" i="39" s="1"/>
  <c r="H72" i="39"/>
  <c r="D72" i="39"/>
  <c r="B72" i="39"/>
  <c r="Z71" i="39"/>
  <c r="X71" i="39"/>
  <c r="N71" i="39"/>
  <c r="L71" i="39"/>
  <c r="J71" i="39"/>
  <c r="B71" i="39"/>
  <c r="T70" i="39"/>
  <c r="Z70" i="39" s="1"/>
  <c r="P70" i="39"/>
  <c r="H70" i="39"/>
  <c r="N70" i="39" s="1"/>
  <c r="D70" i="39"/>
  <c r="L70" i="39" s="1"/>
  <c r="B70" i="39"/>
  <c r="Z69" i="39"/>
  <c r="X69" i="39"/>
  <c r="V69" i="39"/>
  <c r="L69" i="39"/>
  <c r="N69" i="39" s="1"/>
  <c r="J69" i="39"/>
  <c r="B69" i="39"/>
  <c r="T68" i="39"/>
  <c r="P68" i="39"/>
  <c r="X68" i="39" s="1"/>
  <c r="L68" i="39"/>
  <c r="H68" i="39"/>
  <c r="D68" i="39"/>
  <c r="B68" i="39"/>
  <c r="Z67" i="39"/>
  <c r="X67" i="39"/>
  <c r="V67" i="39"/>
  <c r="N67" i="39"/>
  <c r="L67" i="39"/>
  <c r="B67" i="39"/>
  <c r="T66" i="39"/>
  <c r="P66" i="39"/>
  <c r="H66" i="39"/>
  <c r="D66" i="39"/>
  <c r="L66" i="39" s="1"/>
  <c r="B66" i="39"/>
  <c r="X65" i="39"/>
  <c r="Z65" i="39" s="1"/>
  <c r="V65" i="39"/>
  <c r="N65" i="39"/>
  <c r="L65" i="39"/>
  <c r="J65" i="39"/>
  <c r="B65" i="39"/>
  <c r="X64" i="39"/>
  <c r="Z64" i="39" s="1"/>
  <c r="R64" i="39"/>
  <c r="N64" i="39"/>
  <c r="L64" i="39"/>
  <c r="B64" i="39"/>
  <c r="V63" i="39"/>
  <c r="T63" i="39"/>
  <c r="P63" i="39"/>
  <c r="X63" i="39" s="1"/>
  <c r="Z63" i="39" s="1"/>
  <c r="N63" i="39"/>
  <c r="L63" i="39"/>
  <c r="J63" i="39"/>
  <c r="H63" i="39"/>
  <c r="D63" i="39"/>
  <c r="B63" i="39"/>
  <c r="X62" i="39"/>
  <c r="Z62" i="39" s="1"/>
  <c r="L62" i="39"/>
  <c r="N62" i="39" s="1"/>
  <c r="B62" i="39"/>
  <c r="X61" i="39"/>
  <c r="Z61" i="39" s="1"/>
  <c r="V61" i="39"/>
  <c r="T61" i="39"/>
  <c r="R61" i="39"/>
  <c r="P61" i="39"/>
  <c r="H61" i="39"/>
  <c r="L61" i="39" s="1"/>
  <c r="N61" i="39" s="1"/>
  <c r="D61" i="39"/>
  <c r="B61" i="39"/>
  <c r="X60" i="39"/>
  <c r="Z60" i="39" s="1"/>
  <c r="L60" i="39"/>
  <c r="N60" i="39" s="1"/>
  <c r="B60" i="39"/>
  <c r="T59" i="39"/>
  <c r="X59" i="39" s="1"/>
  <c r="Z59" i="39" s="1"/>
  <c r="P59" i="39"/>
  <c r="N59" i="39"/>
  <c r="J59" i="39"/>
  <c r="H59" i="39"/>
  <c r="D59" i="39"/>
  <c r="L59" i="39" s="1"/>
  <c r="B59" i="39"/>
  <c r="X58" i="39"/>
  <c r="Z58" i="39" s="1"/>
  <c r="L58" i="39"/>
  <c r="N58" i="39" s="1"/>
  <c r="J58" i="39"/>
  <c r="F58" i="39"/>
  <c r="B58" i="39"/>
  <c r="Z57" i="39"/>
  <c r="X57" i="39"/>
  <c r="V57" i="39"/>
  <c r="N57" i="39"/>
  <c r="L57" i="39"/>
  <c r="J57" i="39"/>
  <c r="B57" i="39"/>
  <c r="X56" i="39"/>
  <c r="T56" i="39"/>
  <c r="P56" i="39"/>
  <c r="L56" i="39"/>
  <c r="H56" i="39"/>
  <c r="D56" i="39"/>
  <c r="B56" i="39"/>
  <c r="Z55" i="39"/>
  <c r="X55" i="39"/>
  <c r="V55" i="39"/>
  <c r="N55" i="39"/>
  <c r="L55" i="39"/>
  <c r="B55" i="39"/>
  <c r="X54" i="39"/>
  <c r="T54" i="39"/>
  <c r="P54" i="39"/>
  <c r="L54" i="39"/>
  <c r="H54" i="39"/>
  <c r="D54" i="39"/>
  <c r="B54" i="39"/>
  <c r="X53" i="39"/>
  <c r="Z53" i="39" s="1"/>
  <c r="V53" i="39"/>
  <c r="N53" i="39"/>
  <c r="L53" i="39"/>
  <c r="J53" i="39"/>
  <c r="B53" i="39"/>
  <c r="T52" i="39"/>
  <c r="P52" i="39"/>
  <c r="X52" i="39" s="1"/>
  <c r="H52" i="39"/>
  <c r="D52" i="39"/>
  <c r="B52" i="39"/>
  <c r="Z51" i="39"/>
  <c r="X51" i="39"/>
  <c r="N51" i="39"/>
  <c r="L51" i="39"/>
  <c r="J51" i="39"/>
  <c r="B51" i="39"/>
  <c r="T50" i="39"/>
  <c r="Z50" i="39" s="1"/>
  <c r="P50" i="39"/>
  <c r="X50" i="39" s="1"/>
  <c r="H50" i="39"/>
  <c r="N50" i="39" s="1"/>
  <c r="D50" i="39"/>
  <c r="L50" i="39" s="1"/>
  <c r="B50" i="39"/>
  <c r="Z49" i="39"/>
  <c r="X49" i="39"/>
  <c r="V49" i="39"/>
  <c r="N49" i="39"/>
  <c r="L49" i="39"/>
  <c r="J49" i="39"/>
  <c r="B49" i="39"/>
  <c r="Z48" i="39"/>
  <c r="X48" i="39"/>
  <c r="N48" i="39"/>
  <c r="L48" i="39"/>
  <c r="F48" i="39"/>
  <c r="B48" i="39"/>
  <c r="Z47" i="39"/>
  <c r="X47" i="39"/>
  <c r="N47" i="39"/>
  <c r="L47" i="39"/>
  <c r="J47" i="39"/>
  <c r="B47" i="39"/>
  <c r="X46" i="39"/>
  <c r="Z46" i="39" s="1"/>
  <c r="L46" i="39"/>
  <c r="N46" i="39" s="1"/>
  <c r="B46" i="39"/>
  <c r="Z45" i="39"/>
  <c r="X45" i="39"/>
  <c r="V45" i="39"/>
  <c r="N45" i="39"/>
  <c r="L45" i="39"/>
  <c r="J45" i="39"/>
  <c r="B45" i="39"/>
  <c r="X44" i="39"/>
  <c r="Z44" i="39" s="1"/>
  <c r="L44" i="39"/>
  <c r="N44" i="39" s="1"/>
  <c r="B44" i="39"/>
  <c r="Z43" i="39"/>
  <c r="X43" i="39"/>
  <c r="V43" i="39"/>
  <c r="N43" i="39"/>
  <c r="L43" i="39"/>
  <c r="B43" i="39"/>
  <c r="Z42" i="39"/>
  <c r="X42" i="39"/>
  <c r="R42" i="39"/>
  <c r="N42" i="39"/>
  <c r="L42" i="39"/>
  <c r="J42" i="39"/>
  <c r="B42" i="39"/>
  <c r="Z41" i="39"/>
  <c r="X41" i="39"/>
  <c r="V41" i="39"/>
  <c r="L41" i="39"/>
  <c r="N41" i="39" s="1"/>
  <c r="J41" i="39"/>
  <c r="B41" i="39"/>
  <c r="X40" i="39"/>
  <c r="Z40" i="39" s="1"/>
  <c r="L40" i="39"/>
  <c r="N40" i="39" s="1"/>
  <c r="B40" i="39"/>
  <c r="Z39" i="39"/>
  <c r="T39" i="39"/>
  <c r="P39" i="39"/>
  <c r="X39" i="39" s="1"/>
  <c r="N39" i="39"/>
  <c r="J39" i="39"/>
  <c r="H39" i="39"/>
  <c r="D39" i="39"/>
  <c r="L39" i="39" s="1"/>
  <c r="B39" i="39"/>
  <c r="X38" i="39"/>
  <c r="Z38" i="39" s="1"/>
  <c r="L38" i="39"/>
  <c r="N38" i="39" s="1"/>
  <c r="J38" i="39"/>
  <c r="B38" i="39"/>
  <c r="Z37" i="39"/>
  <c r="X37" i="39"/>
  <c r="V37" i="39"/>
  <c r="L37" i="39"/>
  <c r="N37" i="39" s="1"/>
  <c r="J37" i="39"/>
  <c r="B37" i="39"/>
  <c r="X36" i="39"/>
  <c r="Z36" i="39" s="1"/>
  <c r="L36" i="39"/>
  <c r="N36" i="39" s="1"/>
  <c r="B36" i="39"/>
  <c r="Z35" i="39"/>
  <c r="X35" i="39"/>
  <c r="N35" i="39"/>
  <c r="L35" i="39"/>
  <c r="J35" i="39"/>
  <c r="B35" i="39"/>
  <c r="Z34" i="39"/>
  <c r="X34" i="39"/>
  <c r="N34" i="39"/>
  <c r="L34" i="39"/>
  <c r="B34" i="39"/>
  <c r="X33" i="39"/>
  <c r="Z33" i="39" s="1"/>
  <c r="V33" i="39"/>
  <c r="N33" i="39"/>
  <c r="L33" i="39"/>
  <c r="J33" i="39"/>
  <c r="B33" i="39"/>
  <c r="X32" i="39"/>
  <c r="Z32" i="39" s="1"/>
  <c r="L32" i="39"/>
  <c r="N32" i="39" s="1"/>
  <c r="B32" i="39"/>
  <c r="Z31" i="39"/>
  <c r="X31" i="39"/>
  <c r="V31" i="39"/>
  <c r="N31" i="39"/>
  <c r="L31" i="39"/>
  <c r="B31" i="39"/>
  <c r="X30" i="39"/>
  <c r="Z30" i="39" s="1"/>
  <c r="N30" i="39"/>
  <c r="L30" i="39"/>
  <c r="J30" i="39"/>
  <c r="B30" i="39"/>
  <c r="Z29" i="39"/>
  <c r="X29" i="39"/>
  <c r="V29" i="39"/>
  <c r="L29" i="39"/>
  <c r="N29" i="39" s="1"/>
  <c r="J29" i="39"/>
  <c r="B29" i="39"/>
  <c r="T28" i="39"/>
  <c r="P28" i="39"/>
  <c r="X28" i="39" s="1"/>
  <c r="L28" i="39"/>
  <c r="H28" i="39"/>
  <c r="D28" i="39"/>
  <c r="B28" i="39"/>
  <c r="T27" i="39" a="1"/>
  <c r="T27" i="39"/>
  <c r="Z27" i="39" s="1"/>
  <c r="P27" i="39" a="1"/>
  <c r="P27" i="39"/>
  <c r="X27" i="39" s="1"/>
  <c r="N27" i="39"/>
  <c r="H27" i="39" a="1"/>
  <c r="H27" i="39"/>
  <c r="J27" i="39" s="1"/>
  <c r="D27" i="39" a="1"/>
  <c r="D27" i="39"/>
  <c r="L27" i="39" s="1"/>
  <c r="Z23" i="39"/>
  <c r="X23" i="39"/>
  <c r="N23" i="39"/>
  <c r="L23" i="39"/>
  <c r="J23" i="39"/>
  <c r="B23" i="39"/>
  <c r="Z22" i="39"/>
  <c r="X22" i="39"/>
  <c r="N22" i="39"/>
  <c r="L22" i="39"/>
  <c r="B22" i="39"/>
  <c r="X21" i="39"/>
  <c r="Z21" i="39" s="1"/>
  <c r="V21" i="39"/>
  <c r="N21" i="39"/>
  <c r="L21" i="39"/>
  <c r="J21" i="39"/>
  <c r="B21" i="39"/>
  <c r="T20" i="39"/>
  <c r="P20" i="39"/>
  <c r="X20" i="39" s="1"/>
  <c r="H20" i="39"/>
  <c r="D20" i="39"/>
  <c r="Z18" i="39"/>
  <c r="X18" i="39"/>
  <c r="P18" i="39"/>
  <c r="N18" i="39"/>
  <c r="D18" i="39"/>
  <c r="L18" i="39" s="1"/>
  <c r="B18" i="39"/>
  <c r="Z17" i="39"/>
  <c r="P17" i="39"/>
  <c r="X17" i="39" s="1"/>
  <c r="N17" i="39"/>
  <c r="D17" i="39"/>
  <c r="L17" i="39" s="1"/>
  <c r="B17" i="39"/>
  <c r="X16" i="39"/>
  <c r="Z16" i="39" s="1"/>
  <c r="P16" i="39"/>
  <c r="N16" i="39"/>
  <c r="D16" i="39"/>
  <c r="L16" i="39" s="1"/>
  <c r="B16" i="39"/>
  <c r="Z15" i="39"/>
  <c r="P15" i="39"/>
  <c r="X15" i="39" s="1"/>
  <c r="N15" i="39"/>
  <c r="L15" i="39"/>
  <c r="D15" i="39"/>
  <c r="B15" i="39"/>
  <c r="Z14" i="39"/>
  <c r="X14" i="39"/>
  <c r="P14" i="39"/>
  <c r="N14" i="39"/>
  <c r="D14" i="39"/>
  <c r="L14" i="39" s="1"/>
  <c r="B14" i="39"/>
  <c r="P13" i="39"/>
  <c r="X13" i="39" s="1"/>
  <c r="Z13" i="39" s="1"/>
  <c r="L13" i="39"/>
  <c r="N13" i="39" s="1"/>
  <c r="D13" i="39"/>
  <c r="B13" i="39"/>
  <c r="T12" i="39"/>
  <c r="V114" i="39" s="1"/>
  <c r="P12" i="39"/>
  <c r="R120" i="39" s="1"/>
  <c r="H12" i="39"/>
  <c r="D12" i="39"/>
  <c r="D4" i="39"/>
  <c r="B39" i="38"/>
  <c r="B38" i="38"/>
  <c r="T34" i="38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P22" i="38"/>
  <c r="H22" i="38"/>
  <c r="N22" i="38" s="1"/>
  <c r="D22" i="38"/>
  <c r="B22" i="38"/>
  <c r="T21" i="38"/>
  <c r="Z21" i="38" s="1"/>
  <c r="P21" i="38"/>
  <c r="H21" i="38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P12" i="38"/>
  <c r="H12" i="38"/>
  <c r="J24" i="38" s="1"/>
  <c r="D12" i="38"/>
  <c r="F25" i="38" s="1"/>
  <c r="D5" i="38"/>
  <c r="D4" i="38"/>
  <c r="B39" i="37"/>
  <c r="B38" i="37"/>
  <c r="T34" i="37"/>
  <c r="Z34" i="37" s="1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P12" i="37"/>
  <c r="R36" i="37" s="1"/>
  <c r="H12" i="37"/>
  <c r="D12" i="37"/>
  <c r="F24" i="37" s="1"/>
  <c r="D5" i="37"/>
  <c r="D4" i="37"/>
  <c r="Z126" i="36"/>
  <c r="X126" i="36"/>
  <c r="N126" i="36"/>
  <c r="L126" i="36"/>
  <c r="Z122" i="36"/>
  <c r="P122" i="36"/>
  <c r="X122" i="36" s="1"/>
  <c r="N122" i="36"/>
  <c r="L122" i="36"/>
  <c r="D122" i="36"/>
  <c r="B122" i="36"/>
  <c r="X121" i="36"/>
  <c r="Z121" i="36" s="1"/>
  <c r="P121" i="36"/>
  <c r="N121" i="36"/>
  <c r="D121" i="36"/>
  <c r="L121" i="36" s="1"/>
  <c r="B121" i="36"/>
  <c r="P120" i="36"/>
  <c r="P118" i="36" s="1"/>
  <c r="X118" i="36" s="1"/>
  <c r="L120" i="36"/>
  <c r="N120" i="36" s="1"/>
  <c r="D120" i="36"/>
  <c r="B120" i="36"/>
  <c r="X119" i="36"/>
  <c r="Z119" i="36" s="1"/>
  <c r="P119" i="36"/>
  <c r="N119" i="36"/>
  <c r="D119" i="36"/>
  <c r="L119" i="36" s="1"/>
  <c r="B119" i="36"/>
  <c r="Z118" i="36"/>
  <c r="T118" i="36"/>
  <c r="H118" i="36"/>
  <c r="Z116" i="36"/>
  <c r="X116" i="36"/>
  <c r="N116" i="36"/>
  <c r="L116" i="36"/>
  <c r="B116" i="36"/>
  <c r="T115" i="36"/>
  <c r="P115" i="36"/>
  <c r="X115" i="36" s="1"/>
  <c r="L115" i="36"/>
  <c r="H115" i="36"/>
  <c r="N115" i="36" s="1"/>
  <c r="D115" i="36"/>
  <c r="B115" i="36"/>
  <c r="Z114" i="36"/>
  <c r="X114" i="36"/>
  <c r="N114" i="36"/>
  <c r="L114" i="36"/>
  <c r="J114" i="36"/>
  <c r="B114" i="36"/>
  <c r="X113" i="36"/>
  <c r="Z113" i="36" s="1"/>
  <c r="N113" i="36"/>
  <c r="L113" i="36"/>
  <c r="B113" i="36"/>
  <c r="T112" i="36"/>
  <c r="P112" i="36"/>
  <c r="N112" i="36"/>
  <c r="H112" i="36"/>
  <c r="D112" i="36"/>
  <c r="L112" i="36" s="1"/>
  <c r="B112" i="36"/>
  <c r="X111" i="36"/>
  <c r="Z111" i="36" s="1"/>
  <c r="L111" i="36"/>
  <c r="N111" i="36" s="1"/>
  <c r="B111" i="36"/>
  <c r="Z110" i="36"/>
  <c r="T110" i="36"/>
  <c r="P110" i="36"/>
  <c r="X110" i="36" s="1"/>
  <c r="H110" i="36"/>
  <c r="D110" i="36"/>
  <c r="L110" i="36" s="1"/>
  <c r="N110" i="36" s="1"/>
  <c r="B110" i="36"/>
  <c r="Z109" i="36"/>
  <c r="X109" i="36"/>
  <c r="L109" i="36"/>
  <c r="N109" i="36" s="1"/>
  <c r="B109" i="36"/>
  <c r="Z108" i="36"/>
  <c r="X108" i="36"/>
  <c r="N108" i="36"/>
  <c r="L108" i="36"/>
  <c r="B108" i="36"/>
  <c r="T107" i="36"/>
  <c r="P107" i="36"/>
  <c r="L107" i="36"/>
  <c r="N107" i="36" s="1"/>
  <c r="H107" i="36"/>
  <c r="D107" i="36"/>
  <c r="B107" i="36"/>
  <c r="X106" i="36"/>
  <c r="Z106" i="36" s="1"/>
  <c r="N106" i="36"/>
  <c r="L106" i="36"/>
  <c r="J106" i="36"/>
  <c r="B106" i="36"/>
  <c r="X105" i="36"/>
  <c r="Z105" i="36" s="1"/>
  <c r="N105" i="36"/>
  <c r="L105" i="36"/>
  <c r="B105" i="36"/>
  <c r="Z104" i="36"/>
  <c r="X104" i="36"/>
  <c r="N104" i="36"/>
  <c r="L104" i="36"/>
  <c r="B104" i="36"/>
  <c r="X103" i="36"/>
  <c r="Z103" i="36" s="1"/>
  <c r="L103" i="36"/>
  <c r="N103" i="36" s="1"/>
  <c r="B103" i="36"/>
  <c r="Z102" i="36"/>
  <c r="X102" i="36"/>
  <c r="L102" i="36"/>
  <c r="N102" i="36" s="1"/>
  <c r="B102" i="36"/>
  <c r="X101" i="36"/>
  <c r="Z101" i="36" s="1"/>
  <c r="L101" i="36"/>
  <c r="N101" i="36" s="1"/>
  <c r="B101" i="36"/>
  <c r="Z100" i="36"/>
  <c r="X100" i="36"/>
  <c r="N100" i="36"/>
  <c r="L100" i="36"/>
  <c r="B100" i="36"/>
  <c r="X99" i="36"/>
  <c r="Z99" i="36" s="1"/>
  <c r="V99" i="36"/>
  <c r="L99" i="36"/>
  <c r="N99" i="36" s="1"/>
  <c r="B99" i="36"/>
  <c r="X98" i="36"/>
  <c r="Z98" i="36" s="1"/>
  <c r="N98" i="36"/>
  <c r="L98" i="36"/>
  <c r="B98" i="36"/>
  <c r="X97" i="36"/>
  <c r="Z97" i="36" s="1"/>
  <c r="L97" i="36"/>
  <c r="N97" i="36" s="1"/>
  <c r="B97" i="36"/>
  <c r="Z96" i="36"/>
  <c r="T96" i="36"/>
  <c r="P96" i="36"/>
  <c r="X96" i="36" s="1"/>
  <c r="L96" i="36"/>
  <c r="N96" i="36" s="1"/>
  <c r="H96" i="36"/>
  <c r="D96" i="36"/>
  <c r="B96" i="36"/>
  <c r="X95" i="36"/>
  <c r="Z95" i="36" s="1"/>
  <c r="L95" i="36"/>
  <c r="N95" i="36" s="1"/>
  <c r="B95" i="36"/>
  <c r="X94" i="36"/>
  <c r="Z94" i="36" s="1"/>
  <c r="N94" i="36"/>
  <c r="L94" i="36"/>
  <c r="B94" i="36"/>
  <c r="X93" i="36"/>
  <c r="Z93" i="36" s="1"/>
  <c r="T93" i="36"/>
  <c r="P93" i="36"/>
  <c r="H93" i="36"/>
  <c r="D93" i="36"/>
  <c r="L93" i="36" s="1"/>
  <c r="B93" i="36"/>
  <c r="Z92" i="36"/>
  <c r="X92" i="36"/>
  <c r="N92" i="36"/>
  <c r="L92" i="36"/>
  <c r="B92" i="36"/>
  <c r="X91" i="36"/>
  <c r="Z91" i="36" s="1"/>
  <c r="L91" i="36"/>
  <c r="N91" i="36" s="1"/>
  <c r="B91" i="36"/>
  <c r="X90" i="36"/>
  <c r="Z90" i="36" s="1"/>
  <c r="N90" i="36"/>
  <c r="L90" i="36"/>
  <c r="J90" i="36"/>
  <c r="B90" i="36"/>
  <c r="X89" i="36"/>
  <c r="Z89" i="36" s="1"/>
  <c r="L89" i="36"/>
  <c r="N89" i="36" s="1"/>
  <c r="B89" i="36"/>
  <c r="Z88" i="36"/>
  <c r="X88" i="36"/>
  <c r="N88" i="36"/>
  <c r="L88" i="36"/>
  <c r="B88" i="36"/>
  <c r="X87" i="36"/>
  <c r="T87" i="36"/>
  <c r="P87" i="36"/>
  <c r="H87" i="36"/>
  <c r="N87" i="36" s="1"/>
  <c r="D87" i="36"/>
  <c r="L87" i="36" s="1"/>
  <c r="B87" i="36"/>
  <c r="Z86" i="36"/>
  <c r="X86" i="36"/>
  <c r="V86" i="36"/>
  <c r="N86" i="36"/>
  <c r="L86" i="36"/>
  <c r="B86" i="36"/>
  <c r="Z85" i="36"/>
  <c r="T85" i="36"/>
  <c r="P85" i="36"/>
  <c r="X85" i="36" s="1"/>
  <c r="H85" i="36"/>
  <c r="N85" i="36" s="1"/>
  <c r="D85" i="36"/>
  <c r="L85" i="36" s="1"/>
  <c r="B85" i="36"/>
  <c r="Z84" i="36"/>
  <c r="X84" i="36"/>
  <c r="N84" i="36"/>
  <c r="L84" i="36"/>
  <c r="B84" i="36"/>
  <c r="X83" i="36"/>
  <c r="Z83" i="36" s="1"/>
  <c r="L83" i="36"/>
  <c r="N83" i="36" s="1"/>
  <c r="B83" i="36"/>
  <c r="X82" i="36"/>
  <c r="Z82" i="36" s="1"/>
  <c r="N82" i="36"/>
  <c r="L82" i="36"/>
  <c r="B82" i="36"/>
  <c r="Z81" i="36"/>
  <c r="X81" i="36"/>
  <c r="L81" i="36"/>
  <c r="N81" i="36" s="1"/>
  <c r="B81" i="36"/>
  <c r="Z80" i="36"/>
  <c r="T80" i="36"/>
  <c r="P80" i="36"/>
  <c r="X80" i="36" s="1"/>
  <c r="L80" i="36"/>
  <c r="N80" i="36" s="1"/>
  <c r="H80" i="36"/>
  <c r="D80" i="36"/>
  <c r="B80" i="36"/>
  <c r="X79" i="36"/>
  <c r="Z79" i="36" s="1"/>
  <c r="L79" i="36"/>
  <c r="N79" i="36" s="1"/>
  <c r="B79" i="36"/>
  <c r="X78" i="36"/>
  <c r="Z78" i="36" s="1"/>
  <c r="T78" i="36"/>
  <c r="P78" i="36"/>
  <c r="H78" i="36"/>
  <c r="L78" i="36" s="1"/>
  <c r="D78" i="36"/>
  <c r="B78" i="36"/>
  <c r="X77" i="36"/>
  <c r="Z77" i="36" s="1"/>
  <c r="N77" i="36"/>
  <c r="L77" i="36"/>
  <c r="B77" i="36"/>
  <c r="Z76" i="36"/>
  <c r="T76" i="36"/>
  <c r="X76" i="36" s="1"/>
  <c r="P76" i="36"/>
  <c r="H76" i="36"/>
  <c r="D76" i="36"/>
  <c r="L76" i="36" s="1"/>
  <c r="N76" i="36" s="1"/>
  <c r="B76" i="36"/>
  <c r="Z75" i="36"/>
  <c r="X75" i="36"/>
  <c r="N75" i="36"/>
  <c r="L75" i="36"/>
  <c r="B75" i="36"/>
  <c r="Z74" i="36"/>
  <c r="T74" i="36"/>
  <c r="P74" i="36"/>
  <c r="X74" i="36" s="1"/>
  <c r="N74" i="36"/>
  <c r="H74" i="36"/>
  <c r="D74" i="36"/>
  <c r="L74" i="36" s="1"/>
  <c r="B74" i="36"/>
  <c r="Z73" i="36"/>
  <c r="X73" i="36"/>
  <c r="L73" i="36"/>
  <c r="N73" i="36" s="1"/>
  <c r="B73" i="36"/>
  <c r="Z72" i="36"/>
  <c r="T72" i="36"/>
  <c r="P72" i="36"/>
  <c r="X72" i="36" s="1"/>
  <c r="L72" i="36"/>
  <c r="N72" i="36" s="1"/>
  <c r="H72" i="36"/>
  <c r="D72" i="36"/>
  <c r="B72" i="36"/>
  <c r="Z71" i="36"/>
  <c r="X71" i="36"/>
  <c r="L71" i="36"/>
  <c r="N71" i="36" s="1"/>
  <c r="B71" i="36"/>
  <c r="X70" i="36"/>
  <c r="Z70" i="36" s="1"/>
  <c r="V70" i="36"/>
  <c r="T70" i="36"/>
  <c r="P70" i="36"/>
  <c r="H70" i="36"/>
  <c r="L70" i="36" s="1"/>
  <c r="D70" i="36"/>
  <c r="B70" i="36"/>
  <c r="X69" i="36"/>
  <c r="Z69" i="36" s="1"/>
  <c r="L69" i="36"/>
  <c r="N69" i="36" s="1"/>
  <c r="B69" i="36"/>
  <c r="Z68" i="36"/>
  <c r="X68" i="36"/>
  <c r="N68" i="36"/>
  <c r="L68" i="36"/>
  <c r="B68" i="36"/>
  <c r="V67" i="36"/>
  <c r="T67" i="36"/>
  <c r="P67" i="36"/>
  <c r="X67" i="36" s="1"/>
  <c r="L67" i="36"/>
  <c r="H67" i="36"/>
  <c r="D67" i="36"/>
  <c r="B67" i="36"/>
  <c r="Z66" i="36"/>
  <c r="X66" i="36"/>
  <c r="L66" i="36"/>
  <c r="N66" i="36" s="1"/>
  <c r="B66" i="36"/>
  <c r="T65" i="36"/>
  <c r="P65" i="36"/>
  <c r="X65" i="36" s="1"/>
  <c r="H65" i="36"/>
  <c r="D65" i="36"/>
  <c r="B65" i="36"/>
  <c r="Z64" i="36"/>
  <c r="X64" i="36"/>
  <c r="V64" i="36"/>
  <c r="N64" i="36"/>
  <c r="L64" i="36"/>
  <c r="B64" i="36"/>
  <c r="T63" i="36"/>
  <c r="P63" i="36"/>
  <c r="H63" i="36"/>
  <c r="D63" i="36"/>
  <c r="L63" i="36" s="1"/>
  <c r="N63" i="36" s="1"/>
  <c r="B63" i="36"/>
  <c r="X62" i="36"/>
  <c r="Z62" i="36" s="1"/>
  <c r="N62" i="36"/>
  <c r="L62" i="36"/>
  <c r="B62" i="36"/>
  <c r="T61" i="36"/>
  <c r="P61" i="36"/>
  <c r="X61" i="36" s="1"/>
  <c r="Z61" i="36" s="1"/>
  <c r="H61" i="36"/>
  <c r="D61" i="36"/>
  <c r="B61" i="36"/>
  <c r="Z60" i="36"/>
  <c r="X60" i="36"/>
  <c r="N60" i="36"/>
  <c r="L60" i="36"/>
  <c r="B60" i="36"/>
  <c r="Z59" i="36"/>
  <c r="X59" i="36"/>
  <c r="N59" i="36"/>
  <c r="L59" i="36"/>
  <c r="B59" i="36"/>
  <c r="X58" i="36"/>
  <c r="Z58" i="36" s="1"/>
  <c r="V58" i="36"/>
  <c r="T58" i="36"/>
  <c r="P58" i="36"/>
  <c r="H58" i="36"/>
  <c r="L58" i="36" s="1"/>
  <c r="D58" i="36"/>
  <c r="B58" i="36"/>
  <c r="X57" i="36"/>
  <c r="Z57" i="36" s="1"/>
  <c r="L57" i="36"/>
  <c r="N57" i="36" s="1"/>
  <c r="B57" i="36"/>
  <c r="T56" i="36"/>
  <c r="X56" i="36" s="1"/>
  <c r="Z56" i="36" s="1"/>
  <c r="P56" i="36"/>
  <c r="H56" i="36"/>
  <c r="D56" i="36"/>
  <c r="L56" i="36" s="1"/>
  <c r="N56" i="36" s="1"/>
  <c r="B56" i="36"/>
  <c r="X55" i="36"/>
  <c r="Z55" i="36" s="1"/>
  <c r="N55" i="36"/>
  <c r="L55" i="36"/>
  <c r="B55" i="36"/>
  <c r="Z54" i="36"/>
  <c r="V54" i="36"/>
  <c r="T54" i="36"/>
  <c r="P54" i="36"/>
  <c r="X54" i="36" s="1"/>
  <c r="H54" i="36"/>
  <c r="D54" i="36"/>
  <c r="L54" i="36" s="1"/>
  <c r="N54" i="36" s="1"/>
  <c r="B54" i="36"/>
  <c r="Z53" i="36"/>
  <c r="X53" i="36"/>
  <c r="L53" i="36"/>
  <c r="N53" i="36" s="1"/>
  <c r="B53" i="36"/>
  <c r="Z52" i="36"/>
  <c r="V52" i="36"/>
  <c r="T52" i="36"/>
  <c r="P52" i="36"/>
  <c r="X52" i="36" s="1"/>
  <c r="L52" i="36"/>
  <c r="N52" i="36" s="1"/>
  <c r="H52" i="36"/>
  <c r="D52" i="36"/>
  <c r="B52" i="36"/>
  <c r="Z51" i="36"/>
  <c r="X51" i="36"/>
  <c r="N51" i="36"/>
  <c r="L51" i="36"/>
  <c r="B51" i="36"/>
  <c r="Z50" i="36"/>
  <c r="X50" i="36"/>
  <c r="N50" i="36"/>
  <c r="L50" i="36"/>
  <c r="B50" i="36"/>
  <c r="X49" i="36"/>
  <c r="Z49" i="36" s="1"/>
  <c r="L49" i="36"/>
  <c r="N49" i="36" s="1"/>
  <c r="B49" i="36"/>
  <c r="Z48" i="36"/>
  <c r="X48" i="36"/>
  <c r="V48" i="36"/>
  <c r="N48" i="36"/>
  <c r="L48" i="36"/>
  <c r="B48" i="36"/>
  <c r="Z47" i="36"/>
  <c r="X47" i="36"/>
  <c r="N47" i="36"/>
  <c r="L47" i="36"/>
  <c r="J47" i="36"/>
  <c r="B47" i="36"/>
  <c r="Z46" i="36"/>
  <c r="X46" i="36"/>
  <c r="V46" i="36"/>
  <c r="L46" i="36"/>
  <c r="N46" i="36" s="1"/>
  <c r="B46" i="36"/>
  <c r="X45" i="36"/>
  <c r="Z45" i="36" s="1"/>
  <c r="L45" i="36"/>
  <c r="N45" i="36" s="1"/>
  <c r="B45" i="36"/>
  <c r="Z44" i="36"/>
  <c r="X44" i="36"/>
  <c r="N44" i="36"/>
  <c r="L44" i="36"/>
  <c r="B44" i="36"/>
  <c r="Z43" i="36"/>
  <c r="X43" i="36"/>
  <c r="V43" i="36"/>
  <c r="L43" i="36"/>
  <c r="N43" i="36" s="1"/>
  <c r="B43" i="36"/>
  <c r="X42" i="36"/>
  <c r="Z42" i="36" s="1"/>
  <c r="V42" i="36"/>
  <c r="N42" i="36"/>
  <c r="L42" i="36"/>
  <c r="J42" i="36"/>
  <c r="B42" i="36"/>
  <c r="T41" i="36"/>
  <c r="Z41" i="36" s="1"/>
  <c r="P41" i="36"/>
  <c r="X41" i="36" s="1"/>
  <c r="H41" i="36"/>
  <c r="D41" i="36"/>
  <c r="L41" i="36" s="1"/>
  <c r="B41" i="36"/>
  <c r="Z40" i="36"/>
  <c r="X40" i="36"/>
  <c r="N40" i="36"/>
  <c r="L40" i="36"/>
  <c r="B40" i="36"/>
  <c r="Z39" i="36"/>
  <c r="X39" i="36"/>
  <c r="V39" i="36"/>
  <c r="L39" i="36"/>
  <c r="N39" i="36" s="1"/>
  <c r="B39" i="36"/>
  <c r="X38" i="36"/>
  <c r="Z38" i="36" s="1"/>
  <c r="N38" i="36"/>
  <c r="L38" i="36"/>
  <c r="B38" i="36"/>
  <c r="Z37" i="36"/>
  <c r="X37" i="36"/>
  <c r="N37" i="36"/>
  <c r="L37" i="36"/>
  <c r="B37" i="36"/>
  <c r="Z36" i="36"/>
  <c r="X36" i="36"/>
  <c r="V36" i="36"/>
  <c r="N36" i="36"/>
  <c r="L36" i="36"/>
  <c r="B36" i="36"/>
  <c r="X35" i="36"/>
  <c r="Z35" i="36" s="1"/>
  <c r="N35" i="36"/>
  <c r="L35" i="36"/>
  <c r="B35" i="36"/>
  <c r="Z34" i="36"/>
  <c r="X34" i="36"/>
  <c r="V34" i="36"/>
  <c r="L34" i="36"/>
  <c r="N34" i="36" s="1"/>
  <c r="B34" i="36"/>
  <c r="X33" i="36"/>
  <c r="Z33" i="36" s="1"/>
  <c r="N33" i="36"/>
  <c r="L33" i="36"/>
  <c r="B33" i="36"/>
  <c r="Z32" i="36"/>
  <c r="X32" i="36"/>
  <c r="N32" i="36"/>
  <c r="L32" i="36"/>
  <c r="B32" i="36"/>
  <c r="X31" i="36"/>
  <c r="Z31" i="36" s="1"/>
  <c r="V31" i="36"/>
  <c r="L31" i="36"/>
  <c r="N31" i="36" s="1"/>
  <c r="B31" i="36"/>
  <c r="X30" i="36"/>
  <c r="Z30" i="36" s="1"/>
  <c r="V30" i="36"/>
  <c r="T30" i="36"/>
  <c r="P30" i="36"/>
  <c r="H30" i="36"/>
  <c r="D30" i="36"/>
  <c r="B30" i="36"/>
  <c r="X29" i="36"/>
  <c r="T29" i="36" a="1"/>
  <c r="T29" i="36"/>
  <c r="P29" i="36" a="1"/>
  <c r="P29" i="36"/>
  <c r="H29" i="36" a="1"/>
  <c r="H29" i="36"/>
  <c r="D29" i="36" a="1"/>
  <c r="D29" i="36"/>
  <c r="L29" i="36" s="1"/>
  <c r="Z25" i="36"/>
  <c r="X25" i="36"/>
  <c r="N25" i="36"/>
  <c r="L25" i="36"/>
  <c r="B25" i="36"/>
  <c r="Z24" i="36"/>
  <c r="X24" i="36"/>
  <c r="V24" i="36"/>
  <c r="N24" i="36"/>
  <c r="L24" i="36"/>
  <c r="B24" i="36"/>
  <c r="X23" i="36"/>
  <c r="Z23" i="36" s="1"/>
  <c r="L23" i="36"/>
  <c r="N23" i="36" s="1"/>
  <c r="B23" i="36"/>
  <c r="Z22" i="36"/>
  <c r="T22" i="36"/>
  <c r="P22" i="36"/>
  <c r="X22" i="36" s="1"/>
  <c r="N22" i="36"/>
  <c r="L22" i="36"/>
  <c r="H22" i="36"/>
  <c r="D22" i="36"/>
  <c r="Z20" i="36"/>
  <c r="P20" i="36"/>
  <c r="X20" i="36" s="1"/>
  <c r="N20" i="36"/>
  <c r="L20" i="36"/>
  <c r="D20" i="36"/>
  <c r="B20" i="36"/>
  <c r="Z19" i="36"/>
  <c r="P19" i="36"/>
  <c r="X19" i="36" s="1"/>
  <c r="N19" i="36"/>
  <c r="D19" i="36"/>
  <c r="L19" i="36" s="1"/>
  <c r="B19" i="36"/>
  <c r="Z18" i="36"/>
  <c r="P18" i="36"/>
  <c r="X18" i="36" s="1"/>
  <c r="N18" i="36"/>
  <c r="L18" i="36"/>
  <c r="D18" i="36"/>
  <c r="B18" i="36"/>
  <c r="X17" i="36"/>
  <c r="Z17" i="36" s="1"/>
  <c r="P17" i="36"/>
  <c r="D17" i="36"/>
  <c r="L17" i="36" s="1"/>
  <c r="N17" i="36" s="1"/>
  <c r="B17" i="36"/>
  <c r="Z16" i="36"/>
  <c r="P16" i="36"/>
  <c r="X16" i="36" s="1"/>
  <c r="N16" i="36"/>
  <c r="D16" i="36"/>
  <c r="L16" i="36" s="1"/>
  <c r="B16" i="36"/>
  <c r="Z15" i="36"/>
  <c r="X15" i="36"/>
  <c r="P15" i="36"/>
  <c r="N15" i="36"/>
  <c r="D15" i="36"/>
  <c r="L15" i="36" s="1"/>
  <c r="B15" i="36"/>
  <c r="Z14" i="36"/>
  <c r="P14" i="36"/>
  <c r="N14" i="36"/>
  <c r="L14" i="36"/>
  <c r="D14" i="36"/>
  <c r="B14" i="36"/>
  <c r="X13" i="36"/>
  <c r="Z13" i="36" s="1"/>
  <c r="P13" i="36"/>
  <c r="D13" i="36"/>
  <c r="B13" i="36"/>
  <c r="T12" i="36"/>
  <c r="V126" i="36" s="1"/>
  <c r="H12" i="36"/>
  <c r="J112" i="36" s="1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34" i="35" s="1"/>
  <c r="P12" i="35"/>
  <c r="R36" i="35" s="1"/>
  <c r="H12" i="35"/>
  <c r="J18" i="35" s="1"/>
  <c r="D12" i="35"/>
  <c r="F36" i="35" s="1"/>
  <c r="D5" i="35"/>
  <c r="D4" i="35"/>
  <c r="Z132" i="34"/>
  <c r="X132" i="34"/>
  <c r="V132" i="34"/>
  <c r="N132" i="34"/>
  <c r="L132" i="34"/>
  <c r="Z128" i="34"/>
  <c r="P128" i="34"/>
  <c r="X128" i="34" s="1"/>
  <c r="N128" i="34"/>
  <c r="L128" i="34"/>
  <c r="D128" i="34"/>
  <c r="B128" i="34"/>
  <c r="Z127" i="34"/>
  <c r="X127" i="34"/>
  <c r="P127" i="34"/>
  <c r="N127" i="34"/>
  <c r="D127" i="34"/>
  <c r="L127" i="34" s="1"/>
  <c r="B127" i="34"/>
  <c r="Z126" i="34"/>
  <c r="P126" i="34"/>
  <c r="X126" i="34" s="1"/>
  <c r="L126" i="34"/>
  <c r="N126" i="34" s="1"/>
  <c r="D126" i="34"/>
  <c r="B126" i="34"/>
  <c r="P125" i="34"/>
  <c r="N125" i="34"/>
  <c r="D125" i="34"/>
  <c r="L125" i="34" s="1"/>
  <c r="B125" i="34"/>
  <c r="T124" i="34"/>
  <c r="H124" i="34"/>
  <c r="Z122" i="34"/>
  <c r="X122" i="34"/>
  <c r="N122" i="34"/>
  <c r="L122" i="34"/>
  <c r="B122" i="34"/>
  <c r="T121" i="34"/>
  <c r="P121" i="34"/>
  <c r="L121" i="34"/>
  <c r="H121" i="34"/>
  <c r="D121" i="34"/>
  <c r="B121" i="34"/>
  <c r="Z120" i="34"/>
  <c r="X120" i="34"/>
  <c r="N120" i="34"/>
  <c r="L120" i="34"/>
  <c r="B120" i="34"/>
  <c r="X119" i="34"/>
  <c r="Z119" i="34" s="1"/>
  <c r="L119" i="34"/>
  <c r="N119" i="34" s="1"/>
  <c r="B119" i="34"/>
  <c r="T118" i="34"/>
  <c r="P118" i="34"/>
  <c r="X118" i="34" s="1"/>
  <c r="Z118" i="34" s="1"/>
  <c r="H118" i="34"/>
  <c r="D118" i="34"/>
  <c r="L118" i="34" s="1"/>
  <c r="N118" i="34" s="1"/>
  <c r="B118" i="34"/>
  <c r="Z117" i="34"/>
  <c r="X117" i="34"/>
  <c r="N117" i="34"/>
  <c r="L117" i="34"/>
  <c r="B117" i="34"/>
  <c r="Z116" i="34"/>
  <c r="V116" i="34"/>
  <c r="T116" i="34"/>
  <c r="P116" i="34"/>
  <c r="X116" i="34" s="1"/>
  <c r="N116" i="34"/>
  <c r="L116" i="34"/>
  <c r="H116" i="34"/>
  <c r="D116" i="34"/>
  <c r="B116" i="34"/>
  <c r="Z115" i="34"/>
  <c r="X115" i="34"/>
  <c r="L115" i="34"/>
  <c r="N115" i="34" s="1"/>
  <c r="B115" i="34"/>
  <c r="X114" i="34"/>
  <c r="Z114" i="34" s="1"/>
  <c r="T114" i="34"/>
  <c r="P114" i="34"/>
  <c r="N114" i="34"/>
  <c r="H114" i="34"/>
  <c r="L114" i="34" s="1"/>
  <c r="D114" i="34"/>
  <c r="B114" i="34"/>
  <c r="X113" i="34"/>
  <c r="Z113" i="34" s="1"/>
  <c r="V113" i="34"/>
  <c r="L113" i="34"/>
  <c r="N113" i="34" s="1"/>
  <c r="B113" i="34"/>
  <c r="Z112" i="34"/>
  <c r="X112" i="34"/>
  <c r="V112" i="34"/>
  <c r="N112" i="34"/>
  <c r="L112" i="34"/>
  <c r="B112" i="34"/>
  <c r="X111" i="34"/>
  <c r="Z111" i="34" s="1"/>
  <c r="V111" i="34"/>
  <c r="L111" i="34"/>
  <c r="N111" i="34" s="1"/>
  <c r="B111" i="34"/>
  <c r="Z110" i="34"/>
  <c r="X110" i="34"/>
  <c r="N110" i="34"/>
  <c r="L110" i="34"/>
  <c r="B110" i="34"/>
  <c r="Z109" i="34"/>
  <c r="X109" i="34"/>
  <c r="L109" i="34"/>
  <c r="N109" i="34" s="1"/>
  <c r="B109" i="34"/>
  <c r="Z108" i="34"/>
  <c r="X108" i="34"/>
  <c r="N108" i="34"/>
  <c r="L108" i="34"/>
  <c r="B108" i="34"/>
  <c r="T107" i="34"/>
  <c r="P107" i="34"/>
  <c r="H107" i="34"/>
  <c r="D107" i="34"/>
  <c r="L107" i="34" s="1"/>
  <c r="N107" i="34" s="1"/>
  <c r="B107" i="34"/>
  <c r="Z106" i="34"/>
  <c r="X106" i="34"/>
  <c r="N106" i="34"/>
  <c r="L106" i="34"/>
  <c r="B106" i="34"/>
  <c r="Z105" i="34"/>
  <c r="X105" i="34"/>
  <c r="N105" i="34"/>
  <c r="L105" i="34"/>
  <c r="B105" i="34"/>
  <c r="Z104" i="34"/>
  <c r="T104" i="34"/>
  <c r="R104" i="34"/>
  <c r="P104" i="34"/>
  <c r="X104" i="34" s="1"/>
  <c r="L104" i="34"/>
  <c r="N104" i="34" s="1"/>
  <c r="H104" i="34"/>
  <c r="D104" i="34"/>
  <c r="B104" i="34"/>
  <c r="Z103" i="34"/>
  <c r="X103" i="34"/>
  <c r="N103" i="34"/>
  <c r="L103" i="34"/>
  <c r="B103" i="34"/>
  <c r="X102" i="34"/>
  <c r="Z102" i="34" s="1"/>
  <c r="L102" i="34"/>
  <c r="N102" i="34" s="1"/>
  <c r="J102" i="34"/>
  <c r="B102" i="34"/>
  <c r="Z101" i="34"/>
  <c r="X101" i="34"/>
  <c r="N101" i="34"/>
  <c r="L101" i="34"/>
  <c r="B101" i="34"/>
  <c r="Z100" i="34"/>
  <c r="X100" i="34"/>
  <c r="T100" i="34"/>
  <c r="R100" i="34"/>
  <c r="P100" i="34"/>
  <c r="L100" i="34"/>
  <c r="H100" i="34"/>
  <c r="N100" i="34" s="1"/>
  <c r="D100" i="34"/>
  <c r="B100" i="34"/>
  <c r="Z99" i="34"/>
  <c r="X99" i="34"/>
  <c r="N99" i="34"/>
  <c r="L99" i="34"/>
  <c r="B99" i="34"/>
  <c r="X98" i="34"/>
  <c r="Z98" i="34" s="1"/>
  <c r="N98" i="34"/>
  <c r="L98" i="34"/>
  <c r="J98" i="34"/>
  <c r="B98" i="34"/>
  <c r="Z97" i="34"/>
  <c r="X97" i="34"/>
  <c r="L97" i="34"/>
  <c r="N97" i="34" s="1"/>
  <c r="B97" i="34"/>
  <c r="Z96" i="34"/>
  <c r="X96" i="34"/>
  <c r="T96" i="34"/>
  <c r="R96" i="34"/>
  <c r="P96" i="34"/>
  <c r="L96" i="34"/>
  <c r="H96" i="34"/>
  <c r="N96" i="34" s="1"/>
  <c r="D96" i="34"/>
  <c r="B96" i="34"/>
  <c r="Z95" i="34"/>
  <c r="X95" i="34"/>
  <c r="N95" i="34"/>
  <c r="L95" i="34"/>
  <c r="B95" i="34"/>
  <c r="X94" i="34"/>
  <c r="Z94" i="34" s="1"/>
  <c r="L94" i="34"/>
  <c r="N94" i="34" s="1"/>
  <c r="J94" i="34"/>
  <c r="B94" i="34"/>
  <c r="T93" i="34"/>
  <c r="P93" i="34"/>
  <c r="X93" i="34" s="1"/>
  <c r="Z93" i="34" s="1"/>
  <c r="H93" i="34"/>
  <c r="N93" i="34" s="1"/>
  <c r="D93" i="34"/>
  <c r="L93" i="34" s="1"/>
  <c r="B93" i="34"/>
  <c r="Z92" i="34"/>
  <c r="X92" i="34"/>
  <c r="N92" i="34"/>
  <c r="L92" i="34"/>
  <c r="B92" i="34"/>
  <c r="T91" i="34"/>
  <c r="Z91" i="34" s="1"/>
  <c r="P91" i="34"/>
  <c r="X91" i="34" s="1"/>
  <c r="L91" i="34"/>
  <c r="N91" i="34" s="1"/>
  <c r="H91" i="34"/>
  <c r="D91" i="34"/>
  <c r="B91" i="34"/>
  <c r="X90" i="34"/>
  <c r="Z90" i="34" s="1"/>
  <c r="V90" i="34"/>
  <c r="N90" i="34"/>
  <c r="L90" i="34"/>
  <c r="B90" i="34"/>
  <c r="X89" i="34"/>
  <c r="Z89" i="34" s="1"/>
  <c r="T89" i="34"/>
  <c r="P89" i="34"/>
  <c r="H89" i="34"/>
  <c r="D89" i="34"/>
  <c r="B89" i="34"/>
  <c r="Z88" i="34"/>
  <c r="X88" i="34"/>
  <c r="N88" i="34"/>
  <c r="L88" i="34"/>
  <c r="B88" i="34"/>
  <c r="T87" i="34"/>
  <c r="P87" i="34"/>
  <c r="H87" i="34"/>
  <c r="D87" i="34"/>
  <c r="L87" i="34" s="1"/>
  <c r="N87" i="34" s="1"/>
  <c r="B87" i="34"/>
  <c r="X86" i="34"/>
  <c r="Z86" i="34" s="1"/>
  <c r="L86" i="34"/>
  <c r="N86" i="34" s="1"/>
  <c r="J86" i="34"/>
  <c r="B86" i="34"/>
  <c r="T85" i="34"/>
  <c r="P85" i="34"/>
  <c r="X85" i="34" s="1"/>
  <c r="Z85" i="34" s="1"/>
  <c r="H85" i="34"/>
  <c r="N85" i="34" s="1"/>
  <c r="D85" i="34"/>
  <c r="L85" i="34" s="1"/>
  <c r="B85" i="34"/>
  <c r="Z84" i="34"/>
  <c r="X84" i="34"/>
  <c r="N84" i="34"/>
  <c r="L84" i="34"/>
  <c r="B84" i="34"/>
  <c r="Z83" i="34"/>
  <c r="X83" i="34"/>
  <c r="N83" i="34"/>
  <c r="L83" i="34"/>
  <c r="B83" i="34"/>
  <c r="X82" i="34"/>
  <c r="T82" i="34"/>
  <c r="Z82" i="34" s="1"/>
  <c r="P82" i="34"/>
  <c r="N82" i="34"/>
  <c r="H82" i="34"/>
  <c r="D82" i="34"/>
  <c r="L82" i="34" s="1"/>
  <c r="B82" i="34"/>
  <c r="Z81" i="34"/>
  <c r="X81" i="34"/>
  <c r="N81" i="34"/>
  <c r="L81" i="34"/>
  <c r="B81" i="34"/>
  <c r="Z80" i="34"/>
  <c r="X80" i="34"/>
  <c r="N80" i="34"/>
  <c r="L80" i="34"/>
  <c r="B80" i="34"/>
  <c r="T79" i="34"/>
  <c r="Z79" i="34" s="1"/>
  <c r="P79" i="34"/>
  <c r="X79" i="34" s="1"/>
  <c r="L79" i="34"/>
  <c r="N79" i="34" s="1"/>
  <c r="H79" i="34"/>
  <c r="D79" i="34"/>
  <c r="B79" i="34"/>
  <c r="Z78" i="34"/>
  <c r="X78" i="34"/>
  <c r="V78" i="34"/>
  <c r="N78" i="34"/>
  <c r="L78" i="34"/>
  <c r="B78" i="34"/>
  <c r="Z77" i="34"/>
  <c r="X77" i="34"/>
  <c r="T77" i="34"/>
  <c r="P77" i="34"/>
  <c r="H77" i="34"/>
  <c r="D77" i="34"/>
  <c r="B77" i="34"/>
  <c r="Z76" i="34"/>
  <c r="X76" i="34"/>
  <c r="N76" i="34"/>
  <c r="L76" i="34"/>
  <c r="B76" i="34"/>
  <c r="T75" i="34"/>
  <c r="P75" i="34"/>
  <c r="H75" i="34"/>
  <c r="D75" i="34"/>
  <c r="L75" i="34" s="1"/>
  <c r="N75" i="34" s="1"/>
  <c r="B75" i="34"/>
  <c r="Z74" i="34"/>
  <c r="X74" i="34"/>
  <c r="N74" i="34"/>
  <c r="L74" i="34"/>
  <c r="J74" i="34"/>
  <c r="B74" i="34"/>
  <c r="Z73" i="34"/>
  <c r="X73" i="34"/>
  <c r="N73" i="34"/>
  <c r="L73" i="34"/>
  <c r="B73" i="34"/>
  <c r="Z72" i="34"/>
  <c r="X72" i="34"/>
  <c r="T72" i="34"/>
  <c r="R72" i="34"/>
  <c r="P72" i="34"/>
  <c r="L72" i="34"/>
  <c r="H72" i="34"/>
  <c r="N72" i="34" s="1"/>
  <c r="D72" i="34"/>
  <c r="B72" i="34"/>
  <c r="X71" i="34"/>
  <c r="Z71" i="34" s="1"/>
  <c r="N71" i="34"/>
  <c r="L71" i="34"/>
  <c r="B71" i="34"/>
  <c r="X70" i="34"/>
  <c r="T70" i="34"/>
  <c r="Z70" i="34" s="1"/>
  <c r="P70" i="34"/>
  <c r="H70" i="34"/>
  <c r="D70" i="34"/>
  <c r="L70" i="34" s="1"/>
  <c r="N70" i="34" s="1"/>
  <c r="B70" i="34"/>
  <c r="X69" i="34"/>
  <c r="Z69" i="34" s="1"/>
  <c r="N69" i="34"/>
  <c r="L69" i="34"/>
  <c r="B69" i="34"/>
  <c r="T68" i="34"/>
  <c r="P68" i="34"/>
  <c r="X68" i="34" s="1"/>
  <c r="Z68" i="34" s="1"/>
  <c r="J68" i="34"/>
  <c r="H68" i="34"/>
  <c r="D68" i="34"/>
  <c r="L68" i="34" s="1"/>
  <c r="N68" i="34" s="1"/>
  <c r="B68" i="34"/>
  <c r="Z67" i="34"/>
  <c r="X67" i="34"/>
  <c r="R67" i="34"/>
  <c r="L67" i="34"/>
  <c r="N67" i="34" s="1"/>
  <c r="B67" i="34"/>
  <c r="V66" i="34"/>
  <c r="T66" i="34"/>
  <c r="P66" i="34"/>
  <c r="X66" i="34" s="1"/>
  <c r="Z66" i="34" s="1"/>
  <c r="N66" i="34"/>
  <c r="L66" i="34"/>
  <c r="H66" i="34"/>
  <c r="D66" i="34"/>
  <c r="B66" i="34"/>
  <c r="Z65" i="34"/>
  <c r="X65" i="34"/>
  <c r="N65" i="34"/>
  <c r="L65" i="34"/>
  <c r="B65" i="34"/>
  <c r="Z64" i="34"/>
  <c r="X64" i="34"/>
  <c r="N64" i="34"/>
  <c r="L64" i="34"/>
  <c r="B64" i="34"/>
  <c r="Z63" i="34"/>
  <c r="X63" i="34"/>
  <c r="R63" i="34"/>
  <c r="L63" i="34"/>
  <c r="N63" i="34" s="1"/>
  <c r="B63" i="34"/>
  <c r="X62" i="34"/>
  <c r="Z62" i="34" s="1"/>
  <c r="V62" i="34"/>
  <c r="L62" i="34"/>
  <c r="N62" i="34" s="1"/>
  <c r="B62" i="34"/>
  <c r="Z61" i="34"/>
  <c r="X61" i="34"/>
  <c r="N61" i="34"/>
  <c r="L61" i="34"/>
  <c r="B61" i="34"/>
  <c r="Z60" i="34"/>
  <c r="X60" i="34"/>
  <c r="N60" i="34"/>
  <c r="L60" i="34"/>
  <c r="B60" i="34"/>
  <c r="X59" i="34"/>
  <c r="Z59" i="34" s="1"/>
  <c r="N59" i="34"/>
  <c r="L59" i="34"/>
  <c r="B59" i="34"/>
  <c r="Z58" i="34"/>
  <c r="X58" i="34"/>
  <c r="N58" i="34"/>
  <c r="L58" i="34"/>
  <c r="J58" i="34"/>
  <c r="B58" i="34"/>
  <c r="Z57" i="34"/>
  <c r="X57" i="34"/>
  <c r="L57" i="34"/>
  <c r="N57" i="34" s="1"/>
  <c r="B57" i="34"/>
  <c r="Z56" i="34"/>
  <c r="X56" i="34"/>
  <c r="N56" i="34"/>
  <c r="L56" i="34"/>
  <c r="B56" i="34"/>
  <c r="T55" i="34"/>
  <c r="P55" i="34"/>
  <c r="H55" i="34"/>
  <c r="D55" i="34"/>
  <c r="L55" i="34" s="1"/>
  <c r="N55" i="34" s="1"/>
  <c r="B55" i="34"/>
  <c r="X54" i="34"/>
  <c r="Z54" i="34" s="1"/>
  <c r="L54" i="34"/>
  <c r="N54" i="34" s="1"/>
  <c r="J54" i="34"/>
  <c r="B54" i="34"/>
  <c r="Z53" i="34"/>
  <c r="X53" i="34"/>
  <c r="L53" i="34"/>
  <c r="N53" i="34" s="1"/>
  <c r="B53" i="34"/>
  <c r="Z52" i="34"/>
  <c r="X52" i="34"/>
  <c r="N52" i="34"/>
  <c r="L52" i="34"/>
  <c r="B52" i="34"/>
  <c r="Z51" i="34"/>
  <c r="X51" i="34"/>
  <c r="R51" i="34"/>
  <c r="N51" i="34"/>
  <c r="L51" i="34"/>
  <c r="B51" i="34"/>
  <c r="X50" i="34"/>
  <c r="Z50" i="34" s="1"/>
  <c r="V50" i="34"/>
  <c r="L50" i="34"/>
  <c r="N50" i="34" s="1"/>
  <c r="B50" i="34"/>
  <c r="X49" i="34"/>
  <c r="Z49" i="34" s="1"/>
  <c r="N49" i="34"/>
  <c r="L49" i="34"/>
  <c r="B49" i="34"/>
  <c r="Z48" i="34"/>
  <c r="X48" i="34"/>
  <c r="N48" i="34"/>
  <c r="L48" i="34"/>
  <c r="B48" i="34"/>
  <c r="X47" i="34"/>
  <c r="Z47" i="34" s="1"/>
  <c r="V47" i="34"/>
  <c r="N47" i="34"/>
  <c r="L47" i="34"/>
  <c r="B47" i="34"/>
  <c r="X46" i="34"/>
  <c r="Z46" i="34" s="1"/>
  <c r="V46" i="34"/>
  <c r="L46" i="34"/>
  <c r="N46" i="34" s="1"/>
  <c r="J46" i="34"/>
  <c r="B46" i="34"/>
  <c r="V45" i="34"/>
  <c r="T45" i="34"/>
  <c r="P45" i="34"/>
  <c r="X45" i="34" s="1"/>
  <c r="Z45" i="34" s="1"/>
  <c r="H45" i="34"/>
  <c r="D45" i="34"/>
  <c r="L45" i="34" s="1"/>
  <c r="B45" i="34"/>
  <c r="T44" i="34" a="1"/>
  <c r="T44" i="34" s="1"/>
  <c r="P44" i="34" a="1"/>
  <c r="P44" i="34" s="1"/>
  <c r="X44" i="34" s="1"/>
  <c r="Z44" i="34" s="1"/>
  <c r="H44" i="34" a="1"/>
  <c r="H44" i="34" s="1"/>
  <c r="D44" i="34" a="1"/>
  <c r="D44" i="34" s="1"/>
  <c r="T42" i="34"/>
  <c r="Z40" i="34"/>
  <c r="X40" i="34"/>
  <c r="V40" i="34"/>
  <c r="N40" i="34"/>
  <c r="L40" i="34"/>
  <c r="B40" i="34"/>
  <c r="Z39" i="34"/>
  <c r="X39" i="34"/>
  <c r="R39" i="34"/>
  <c r="N39" i="34"/>
  <c r="L39" i="34"/>
  <c r="B39" i="34"/>
  <c r="Z38" i="34"/>
  <c r="X38" i="34"/>
  <c r="V38" i="34"/>
  <c r="N38" i="34"/>
  <c r="L38" i="34"/>
  <c r="B38" i="34"/>
  <c r="Z37" i="34"/>
  <c r="X37" i="34"/>
  <c r="N37" i="34"/>
  <c r="L37" i="34"/>
  <c r="B37" i="34"/>
  <c r="Z36" i="34"/>
  <c r="X36" i="34"/>
  <c r="N36" i="34"/>
  <c r="L36" i="34"/>
  <c r="B36" i="34"/>
  <c r="Z35" i="34"/>
  <c r="X35" i="34"/>
  <c r="V35" i="34"/>
  <c r="N35" i="34"/>
  <c r="L35" i="34"/>
  <c r="B35" i="34"/>
  <c r="Z34" i="34"/>
  <c r="X34" i="34"/>
  <c r="V34" i="34"/>
  <c r="N34" i="34"/>
  <c r="L34" i="34"/>
  <c r="J34" i="34"/>
  <c r="B34" i="34"/>
  <c r="Z33" i="34"/>
  <c r="X33" i="34"/>
  <c r="V33" i="34"/>
  <c r="N33" i="34"/>
  <c r="L33" i="34"/>
  <c r="B33" i="34"/>
  <c r="Z32" i="34"/>
  <c r="X32" i="34"/>
  <c r="V32" i="34"/>
  <c r="N32" i="34"/>
  <c r="L32" i="34"/>
  <c r="B32" i="34"/>
  <c r="Z31" i="34"/>
  <c r="X31" i="34"/>
  <c r="V31" i="34"/>
  <c r="R31" i="34"/>
  <c r="N31" i="34"/>
  <c r="L31" i="34"/>
  <c r="J31" i="34"/>
  <c r="B31" i="34"/>
  <c r="Z30" i="34"/>
  <c r="X30" i="34"/>
  <c r="V30" i="34"/>
  <c r="N30" i="34"/>
  <c r="L30" i="34"/>
  <c r="B30" i="34"/>
  <c r="Z29" i="34"/>
  <c r="X29" i="34"/>
  <c r="N29" i="34"/>
  <c r="L29" i="34"/>
  <c r="B29" i="34"/>
  <c r="Z28" i="34"/>
  <c r="X28" i="34"/>
  <c r="N28" i="34"/>
  <c r="L28" i="34"/>
  <c r="B28" i="34"/>
  <c r="Z27" i="34"/>
  <c r="X27" i="34"/>
  <c r="V27" i="34"/>
  <c r="N27" i="34"/>
  <c r="L27" i="34"/>
  <c r="B27" i="34"/>
  <c r="Z26" i="34"/>
  <c r="X26" i="34"/>
  <c r="V26" i="34"/>
  <c r="N26" i="34"/>
  <c r="L26" i="34"/>
  <c r="J26" i="34"/>
  <c r="B26" i="34"/>
  <c r="Z25" i="34"/>
  <c r="X25" i="34"/>
  <c r="V25" i="34"/>
  <c r="N25" i="34"/>
  <c r="L25" i="34"/>
  <c r="B25" i="34"/>
  <c r="Z24" i="34"/>
  <c r="X24" i="34"/>
  <c r="V24" i="34"/>
  <c r="N24" i="34"/>
  <c r="L24" i="34"/>
  <c r="B24" i="34"/>
  <c r="Z23" i="34"/>
  <c r="X23" i="34"/>
  <c r="V23" i="34"/>
  <c r="R23" i="34"/>
  <c r="N23" i="34"/>
  <c r="L23" i="34"/>
  <c r="J23" i="34"/>
  <c r="B23" i="34"/>
  <c r="Z22" i="34"/>
  <c r="X22" i="34"/>
  <c r="V22" i="34"/>
  <c r="N22" i="34"/>
  <c r="L22" i="34"/>
  <c r="B22" i="34"/>
  <c r="Z21" i="34"/>
  <c r="X21" i="34"/>
  <c r="N21" i="34"/>
  <c r="L21" i="34"/>
  <c r="B21" i="34"/>
  <c r="Z20" i="34"/>
  <c r="X20" i="34"/>
  <c r="L20" i="34"/>
  <c r="N20" i="34" s="1"/>
  <c r="B20" i="34"/>
  <c r="V19" i="34"/>
  <c r="T19" i="34"/>
  <c r="P19" i="34"/>
  <c r="X19" i="34" s="1"/>
  <c r="L19" i="34"/>
  <c r="N19" i="34" s="1"/>
  <c r="H19" i="34"/>
  <c r="D19" i="34"/>
  <c r="Z17" i="34"/>
  <c r="X17" i="34"/>
  <c r="P17" i="34"/>
  <c r="N17" i="34"/>
  <c r="D17" i="34"/>
  <c r="L17" i="34" s="1"/>
  <c r="B17" i="34"/>
  <c r="Z16" i="34"/>
  <c r="P16" i="34"/>
  <c r="X16" i="34" s="1"/>
  <c r="N16" i="34"/>
  <c r="L16" i="34"/>
  <c r="D16" i="34"/>
  <c r="B16" i="34"/>
  <c r="Z15" i="34"/>
  <c r="X15" i="34"/>
  <c r="P15" i="34"/>
  <c r="N15" i="34"/>
  <c r="D15" i="34"/>
  <c r="L15" i="34" s="1"/>
  <c r="B15" i="34"/>
  <c r="X14" i="34"/>
  <c r="Z14" i="34" s="1"/>
  <c r="P14" i="34"/>
  <c r="L14" i="34"/>
  <c r="N14" i="34" s="1"/>
  <c r="D14" i="34"/>
  <c r="B14" i="34"/>
  <c r="P13" i="34"/>
  <c r="X13" i="34" s="1"/>
  <c r="Z13" i="34" s="1"/>
  <c r="D13" i="34"/>
  <c r="L13" i="34" s="1"/>
  <c r="N13" i="34" s="1"/>
  <c r="B13" i="34"/>
  <c r="T12" i="34"/>
  <c r="P12" i="34"/>
  <c r="H12" i="34"/>
  <c r="J103" i="34" s="1"/>
  <c r="D4" i="34"/>
  <c r="B39" i="33"/>
  <c r="B38" i="33"/>
  <c r="T34" i="33"/>
  <c r="Z34" i="33" s="1"/>
  <c r="P34" i="33"/>
  <c r="H34" i="33"/>
  <c r="D34" i="33"/>
  <c r="T33" i="33"/>
  <c r="Z33" i="33" s="1"/>
  <c r="P33" i="33"/>
  <c r="H33" i="33"/>
  <c r="N33" i="33" s="1"/>
  <c r="D33" i="33"/>
  <c r="T29" i="33"/>
  <c r="Z29" i="33" s="1"/>
  <c r="P29" i="33"/>
  <c r="H29" i="33"/>
  <c r="N29" i="33" s="1"/>
  <c r="D29" i="33"/>
  <c r="T25" i="33"/>
  <c r="Z25" i="33" s="1"/>
  <c r="P25" i="33"/>
  <c r="H25" i="33"/>
  <c r="N25" i="33" s="1"/>
  <c r="D25" i="33"/>
  <c r="B25" i="33"/>
  <c r="T24" i="33"/>
  <c r="Z24" i="33" s="1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V34" i="33" s="1"/>
  <c r="P12" i="33"/>
  <c r="H12" i="33"/>
  <c r="J21" i="33" s="1"/>
  <c r="D12" i="33"/>
  <c r="F34" i="33" s="1"/>
  <c r="D5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D20" i="32"/>
  <c r="T16" i="32"/>
  <c r="Z16" i="32" s="1"/>
  <c r="P16" i="32"/>
  <c r="H16" i="32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V20" i="32" s="1"/>
  <c r="P12" i="32"/>
  <c r="R22" i="32" s="1"/>
  <c r="H12" i="32"/>
  <c r="J24" i="32" s="1"/>
  <c r="D12" i="32"/>
  <c r="D5" i="32"/>
  <c r="D4" i="32"/>
  <c r="Z80" i="31"/>
  <c r="X80" i="31"/>
  <c r="L80" i="31"/>
  <c r="N80" i="31" s="1"/>
  <c r="X76" i="31"/>
  <c r="Z76" i="31" s="1"/>
  <c r="P76" i="31"/>
  <c r="P75" i="31" s="1"/>
  <c r="X75" i="31" s="1"/>
  <c r="N76" i="31"/>
  <c r="D76" i="31"/>
  <c r="B76" i="31"/>
  <c r="T75" i="31"/>
  <c r="N75" i="31"/>
  <c r="H75" i="31"/>
  <c r="Z73" i="31"/>
  <c r="X73" i="31"/>
  <c r="V73" i="31"/>
  <c r="L73" i="31"/>
  <c r="N73" i="31" s="1"/>
  <c r="B73" i="31"/>
  <c r="X72" i="31"/>
  <c r="Z72" i="31" s="1"/>
  <c r="T72" i="31"/>
  <c r="P72" i="31"/>
  <c r="H72" i="31"/>
  <c r="D72" i="31"/>
  <c r="B72" i="31"/>
  <c r="X71" i="31"/>
  <c r="Z71" i="31" s="1"/>
  <c r="N71" i="31"/>
  <c r="L71" i="31"/>
  <c r="B71" i="31"/>
  <c r="X70" i="31"/>
  <c r="Z70" i="31" s="1"/>
  <c r="L70" i="31"/>
  <c r="N70" i="31" s="1"/>
  <c r="B70" i="31"/>
  <c r="Z69" i="31"/>
  <c r="X69" i="31"/>
  <c r="V69" i="31"/>
  <c r="L69" i="31"/>
  <c r="N69" i="31" s="1"/>
  <c r="B69" i="31"/>
  <c r="X68" i="31"/>
  <c r="Z68" i="31" s="1"/>
  <c r="N68" i="31"/>
  <c r="L68" i="31"/>
  <c r="B68" i="31"/>
  <c r="Z67" i="31"/>
  <c r="X67" i="31"/>
  <c r="N67" i="31"/>
  <c r="L67" i="31"/>
  <c r="B67" i="31"/>
  <c r="T66" i="31"/>
  <c r="P66" i="31"/>
  <c r="X66" i="31" s="1"/>
  <c r="L66" i="31"/>
  <c r="N66" i="31" s="1"/>
  <c r="H66" i="31"/>
  <c r="D66" i="31"/>
  <c r="B66" i="31"/>
  <c r="Z65" i="31"/>
  <c r="X65" i="31"/>
  <c r="V65" i="31"/>
  <c r="N65" i="31"/>
  <c r="L65" i="31"/>
  <c r="B65" i="31"/>
  <c r="Z64" i="31"/>
  <c r="X64" i="31"/>
  <c r="T64" i="31"/>
  <c r="P64" i="31"/>
  <c r="H64" i="31"/>
  <c r="D64" i="31"/>
  <c r="B64" i="31"/>
  <c r="X63" i="31"/>
  <c r="Z63" i="31" s="1"/>
  <c r="N63" i="31"/>
  <c r="L63" i="31"/>
  <c r="B63" i="31"/>
  <c r="T62" i="31"/>
  <c r="P62" i="31"/>
  <c r="H62" i="31"/>
  <c r="D62" i="31"/>
  <c r="L62" i="31" s="1"/>
  <c r="N62" i="31" s="1"/>
  <c r="B62" i="31"/>
  <c r="Z61" i="31"/>
  <c r="X61" i="31"/>
  <c r="N61" i="31"/>
  <c r="L61" i="31"/>
  <c r="J61" i="31"/>
  <c r="B61" i="31"/>
  <c r="Z60" i="31"/>
  <c r="X60" i="31"/>
  <c r="L60" i="31"/>
  <c r="N60" i="31" s="1"/>
  <c r="B60" i="31"/>
  <c r="Z59" i="31"/>
  <c r="X59" i="31"/>
  <c r="N59" i="31"/>
  <c r="L59" i="31"/>
  <c r="B59" i="31"/>
  <c r="T58" i="31"/>
  <c r="P58" i="31"/>
  <c r="H58" i="31"/>
  <c r="D58" i="31"/>
  <c r="L58" i="31" s="1"/>
  <c r="N58" i="31" s="1"/>
  <c r="B58" i="31"/>
  <c r="Z57" i="31"/>
  <c r="X57" i="31"/>
  <c r="N57" i="31"/>
  <c r="L57" i="31"/>
  <c r="J57" i="31"/>
  <c r="B57" i="31"/>
  <c r="Z56" i="31"/>
  <c r="T56" i="31"/>
  <c r="P56" i="31"/>
  <c r="X56" i="31" s="1"/>
  <c r="H56" i="31"/>
  <c r="N56" i="31" s="1"/>
  <c r="D56" i="31"/>
  <c r="L56" i="31" s="1"/>
  <c r="B56" i="31"/>
  <c r="Z55" i="31"/>
  <c r="X55" i="31"/>
  <c r="N55" i="31"/>
  <c r="L55" i="31"/>
  <c r="B55" i="31"/>
  <c r="X54" i="31"/>
  <c r="Z54" i="31" s="1"/>
  <c r="L54" i="31"/>
  <c r="N54" i="31" s="1"/>
  <c r="B54" i="31"/>
  <c r="X53" i="31"/>
  <c r="T53" i="31"/>
  <c r="Z53" i="31" s="1"/>
  <c r="P53" i="31"/>
  <c r="H53" i="31"/>
  <c r="D53" i="31"/>
  <c r="L53" i="31" s="1"/>
  <c r="N53" i="31" s="1"/>
  <c r="B53" i="31"/>
  <c r="X52" i="31"/>
  <c r="Z52" i="31" s="1"/>
  <c r="N52" i="31"/>
  <c r="L52" i="31"/>
  <c r="B52" i="31"/>
  <c r="T51" i="31"/>
  <c r="P51" i="31"/>
  <c r="X51" i="31" s="1"/>
  <c r="Z51" i="31" s="1"/>
  <c r="J51" i="31"/>
  <c r="H51" i="31"/>
  <c r="D51" i="31"/>
  <c r="L51" i="31" s="1"/>
  <c r="N51" i="31" s="1"/>
  <c r="B51" i="31"/>
  <c r="X50" i="31"/>
  <c r="Z50" i="31" s="1"/>
  <c r="L50" i="31"/>
  <c r="N50" i="31" s="1"/>
  <c r="J50" i="31"/>
  <c r="B50" i="31"/>
  <c r="V49" i="31"/>
  <c r="T49" i="31"/>
  <c r="P49" i="31"/>
  <c r="X49" i="31" s="1"/>
  <c r="Z49" i="31" s="1"/>
  <c r="H49" i="31"/>
  <c r="L49" i="31" s="1"/>
  <c r="N49" i="31" s="1"/>
  <c r="D49" i="31"/>
  <c r="B49" i="31"/>
  <c r="Z48" i="31"/>
  <c r="X48" i="31"/>
  <c r="L48" i="31"/>
  <c r="N48" i="31" s="1"/>
  <c r="B48" i="31"/>
  <c r="T47" i="31"/>
  <c r="X47" i="31" s="1"/>
  <c r="Z47" i="31" s="1"/>
  <c r="P47" i="31"/>
  <c r="L47" i="31"/>
  <c r="H47" i="31"/>
  <c r="N47" i="31" s="1"/>
  <c r="D47" i="31"/>
  <c r="B47" i="31"/>
  <c r="Z46" i="31"/>
  <c r="X46" i="31"/>
  <c r="V46" i="31"/>
  <c r="N46" i="31"/>
  <c r="L46" i="31"/>
  <c r="B46" i="31"/>
  <c r="Z45" i="31"/>
  <c r="X45" i="31"/>
  <c r="N45" i="31"/>
  <c r="L45" i="31"/>
  <c r="J45" i="31"/>
  <c r="B45" i="31"/>
  <c r="Z44" i="31"/>
  <c r="X44" i="31"/>
  <c r="N44" i="31"/>
  <c r="L44" i="31"/>
  <c r="B44" i="31"/>
  <c r="Z43" i="31"/>
  <c r="X43" i="31"/>
  <c r="N43" i="31"/>
  <c r="L43" i="31"/>
  <c r="B43" i="31"/>
  <c r="Z42" i="31"/>
  <c r="X42" i="31"/>
  <c r="N42" i="31"/>
  <c r="L42" i="31"/>
  <c r="J42" i="31"/>
  <c r="B42" i="31"/>
  <c r="Z41" i="31"/>
  <c r="X41" i="31"/>
  <c r="V41" i="31"/>
  <c r="N41" i="31"/>
  <c r="L41" i="31"/>
  <c r="B41" i="31"/>
  <c r="X40" i="31"/>
  <c r="Z40" i="31" s="1"/>
  <c r="N40" i="31"/>
  <c r="L40" i="31"/>
  <c r="B40" i="31"/>
  <c r="Z39" i="31"/>
  <c r="X39" i="31"/>
  <c r="N39" i="31"/>
  <c r="L39" i="31"/>
  <c r="B39" i="31"/>
  <c r="X38" i="31"/>
  <c r="Z38" i="31" s="1"/>
  <c r="V38" i="31"/>
  <c r="L38" i="31"/>
  <c r="N38" i="31" s="1"/>
  <c r="B38" i="31"/>
  <c r="Z37" i="31"/>
  <c r="X37" i="31"/>
  <c r="N37" i="31"/>
  <c r="L37" i="31"/>
  <c r="J37" i="31"/>
  <c r="B37" i="31"/>
  <c r="T36" i="31"/>
  <c r="P36" i="31"/>
  <c r="X36" i="31" s="1"/>
  <c r="Z36" i="31" s="1"/>
  <c r="J36" i="31"/>
  <c r="H36" i="31"/>
  <c r="N36" i="31" s="1"/>
  <c r="D36" i="31"/>
  <c r="L36" i="31" s="1"/>
  <c r="B36" i="31"/>
  <c r="Z35" i="31"/>
  <c r="X35" i="31"/>
  <c r="N35" i="31"/>
  <c r="L35" i="31"/>
  <c r="B35" i="31"/>
  <c r="X34" i="31"/>
  <c r="Z34" i="31" s="1"/>
  <c r="V34" i="31"/>
  <c r="L34" i="31"/>
  <c r="N34" i="31" s="1"/>
  <c r="B34" i="31"/>
  <c r="X33" i="31"/>
  <c r="Z33" i="31" s="1"/>
  <c r="N33" i="31"/>
  <c r="L33" i="31"/>
  <c r="J33" i="31"/>
  <c r="B33" i="31"/>
  <c r="Z32" i="31"/>
  <c r="X32" i="31"/>
  <c r="N32" i="31"/>
  <c r="L32" i="31"/>
  <c r="B32" i="31"/>
  <c r="X31" i="31"/>
  <c r="Z31" i="31" s="1"/>
  <c r="N31" i="31"/>
  <c r="L31" i="31"/>
  <c r="B31" i="31"/>
  <c r="X30" i="31"/>
  <c r="Z30" i="31" s="1"/>
  <c r="L30" i="31"/>
  <c r="N30" i="31" s="1"/>
  <c r="J30" i="31"/>
  <c r="B30" i="31"/>
  <c r="Z29" i="31"/>
  <c r="X29" i="31"/>
  <c r="V29" i="31"/>
  <c r="L29" i="31"/>
  <c r="N29" i="31" s="1"/>
  <c r="B29" i="31"/>
  <c r="X28" i="31"/>
  <c r="Z28" i="31" s="1"/>
  <c r="N28" i="31"/>
  <c r="L28" i="31"/>
  <c r="B28" i="31"/>
  <c r="Z27" i="31"/>
  <c r="X27" i="31"/>
  <c r="L27" i="31"/>
  <c r="N27" i="31" s="1"/>
  <c r="J27" i="31"/>
  <c r="B27" i="31"/>
  <c r="V26" i="31"/>
  <c r="T26" i="31"/>
  <c r="P26" i="31"/>
  <c r="X26" i="31" s="1"/>
  <c r="L26" i="31"/>
  <c r="N26" i="31" s="1"/>
  <c r="H26" i="31"/>
  <c r="D26" i="31"/>
  <c r="B26" i="31"/>
  <c r="V25" i="31"/>
  <c r="T25" i="31" a="1"/>
  <c r="T25" i="31" s="1"/>
  <c r="P25" i="31" a="1"/>
  <c r="P25" i="31" s="1"/>
  <c r="J25" i="31"/>
  <c r="H25" i="31" a="1"/>
  <c r="H25" i="31" s="1"/>
  <c r="D25" i="31" a="1"/>
  <c r="D25" i="31" s="1"/>
  <c r="Z21" i="31"/>
  <c r="X21" i="31"/>
  <c r="V21" i="31"/>
  <c r="N21" i="31"/>
  <c r="L21" i="31"/>
  <c r="J21" i="31"/>
  <c r="B21" i="31"/>
  <c r="Z20" i="31"/>
  <c r="X20" i="31"/>
  <c r="N20" i="31"/>
  <c r="L20" i="31"/>
  <c r="B20" i="31"/>
  <c r="Z19" i="31"/>
  <c r="V19" i="31"/>
  <c r="T19" i="31"/>
  <c r="P19" i="31"/>
  <c r="X19" i="31" s="1"/>
  <c r="L19" i="31"/>
  <c r="J19" i="31"/>
  <c r="H19" i="31"/>
  <c r="N19" i="31" s="1"/>
  <c r="D19" i="31"/>
  <c r="Z17" i="31"/>
  <c r="X17" i="31"/>
  <c r="P17" i="31"/>
  <c r="N17" i="31"/>
  <c r="L17" i="31"/>
  <c r="D17" i="31"/>
  <c r="B17" i="31"/>
  <c r="Z16" i="31"/>
  <c r="X16" i="31"/>
  <c r="P16" i="31"/>
  <c r="N16" i="31"/>
  <c r="L16" i="31"/>
  <c r="D16" i="31"/>
  <c r="B16" i="31"/>
  <c r="Z15" i="31"/>
  <c r="P15" i="31"/>
  <c r="N15" i="31"/>
  <c r="D15" i="31"/>
  <c r="L15" i="31" s="1"/>
  <c r="B15" i="31"/>
  <c r="X14" i="31"/>
  <c r="Z14" i="31" s="1"/>
  <c r="P14" i="31"/>
  <c r="N14" i="31"/>
  <c r="L14" i="31"/>
  <c r="D14" i="31"/>
  <c r="B14" i="31"/>
  <c r="P13" i="31"/>
  <c r="X13" i="31" s="1"/>
  <c r="Z13" i="31" s="1"/>
  <c r="L13" i="31"/>
  <c r="N13" i="31" s="1"/>
  <c r="D13" i="31"/>
  <c r="D12" i="31" s="1"/>
  <c r="F38" i="31" s="1"/>
  <c r="B13" i="31"/>
  <c r="T12" i="31"/>
  <c r="H12" i="31"/>
  <c r="J80" i="31" s="1"/>
  <c r="D4" i="31"/>
  <c r="B39" i="30"/>
  <c r="B38" i="30"/>
  <c r="T34" i="30"/>
  <c r="Z34" i="30" s="1"/>
  <c r="P34" i="30"/>
  <c r="H34" i="30"/>
  <c r="N34" i="30" s="1"/>
  <c r="D34" i="30"/>
  <c r="T33" i="30"/>
  <c r="Z33" i="30" s="1"/>
  <c r="P33" i="30"/>
  <c r="H33" i="30"/>
  <c r="N33" i="30" s="1"/>
  <c r="D33" i="30"/>
  <c r="T29" i="30"/>
  <c r="Z29" i="30" s="1"/>
  <c r="P29" i="30"/>
  <c r="H29" i="30"/>
  <c r="N29" i="30" s="1"/>
  <c r="D29" i="30"/>
  <c r="T25" i="30"/>
  <c r="Z25" i="30" s="1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Z22" i="30" s="1"/>
  <c r="P22" i="30"/>
  <c r="H22" i="30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D13" i="30"/>
  <c r="B13" i="30"/>
  <c r="T12" i="30"/>
  <c r="P12" i="30"/>
  <c r="R18" i="30" s="1"/>
  <c r="H12" i="30"/>
  <c r="D12" i="30"/>
  <c r="F22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D33" i="29"/>
  <c r="T29" i="29"/>
  <c r="Z29" i="29" s="1"/>
  <c r="P29" i="29"/>
  <c r="H29" i="29"/>
  <c r="D29" i="29"/>
  <c r="T25" i="29"/>
  <c r="Z25" i="29" s="1"/>
  <c r="P25" i="29"/>
  <c r="H25" i="29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Z12" i="29" s="1"/>
  <c r="P12" i="29"/>
  <c r="R21" i="29" s="1"/>
  <c r="H12" i="29"/>
  <c r="J20" i="29" s="1"/>
  <c r="D12" i="29"/>
  <c r="D5" i="29"/>
  <c r="D4" i="29"/>
  <c r="Z127" i="28"/>
  <c r="X127" i="28"/>
  <c r="V127" i="28"/>
  <c r="L127" i="28"/>
  <c r="N127" i="28" s="1"/>
  <c r="Z123" i="28"/>
  <c r="X123" i="28"/>
  <c r="P123" i="28"/>
  <c r="N123" i="28"/>
  <c r="L123" i="28"/>
  <c r="D123" i="28"/>
  <c r="B123" i="28"/>
  <c r="Z122" i="28"/>
  <c r="X122" i="28"/>
  <c r="P122" i="28"/>
  <c r="N122" i="28"/>
  <c r="L122" i="28"/>
  <c r="D122" i="28"/>
  <c r="B122" i="28"/>
  <c r="P121" i="28"/>
  <c r="X121" i="28" s="1"/>
  <c r="Z121" i="28" s="1"/>
  <c r="N121" i="28"/>
  <c r="L121" i="28"/>
  <c r="D121" i="28"/>
  <c r="B121" i="28"/>
  <c r="Z120" i="28"/>
  <c r="X120" i="28"/>
  <c r="P120" i="28"/>
  <c r="N120" i="28"/>
  <c r="D120" i="28"/>
  <c r="L120" i="28" s="1"/>
  <c r="B120" i="28"/>
  <c r="V119" i="28"/>
  <c r="T119" i="28"/>
  <c r="P119" i="28"/>
  <c r="X119" i="28" s="1"/>
  <c r="Z119" i="28" s="1"/>
  <c r="H119" i="28"/>
  <c r="X117" i="28"/>
  <c r="Z117" i="28" s="1"/>
  <c r="N117" i="28"/>
  <c r="L117" i="28"/>
  <c r="J117" i="28"/>
  <c r="B117" i="28"/>
  <c r="T116" i="28"/>
  <c r="P116" i="28"/>
  <c r="X116" i="28" s="1"/>
  <c r="Z116" i="28" s="1"/>
  <c r="H116" i="28"/>
  <c r="D116" i="28"/>
  <c r="B116" i="28"/>
  <c r="Z115" i="28"/>
  <c r="X115" i="28"/>
  <c r="N115" i="28"/>
  <c r="L115" i="28"/>
  <c r="B115" i="28"/>
  <c r="X114" i="28"/>
  <c r="Z114" i="28" s="1"/>
  <c r="N114" i="28"/>
  <c r="L114" i="28"/>
  <c r="B114" i="28"/>
  <c r="X113" i="28"/>
  <c r="Z113" i="28" s="1"/>
  <c r="T113" i="28"/>
  <c r="P113" i="28"/>
  <c r="N113" i="28"/>
  <c r="H113" i="28"/>
  <c r="D113" i="28"/>
  <c r="L113" i="28" s="1"/>
  <c r="B113" i="28"/>
  <c r="Z112" i="28"/>
  <c r="X112" i="28"/>
  <c r="N112" i="28"/>
  <c r="L112" i="28"/>
  <c r="B112" i="28"/>
  <c r="Z111" i="28"/>
  <c r="T111" i="28"/>
  <c r="P111" i="28"/>
  <c r="X111" i="28" s="1"/>
  <c r="N111" i="28"/>
  <c r="H111" i="28"/>
  <c r="D111" i="28"/>
  <c r="L111" i="28" s="1"/>
  <c r="B111" i="28"/>
  <c r="Z110" i="28"/>
  <c r="X110" i="28"/>
  <c r="L110" i="28"/>
  <c r="N110" i="28" s="1"/>
  <c r="B110" i="28"/>
  <c r="T109" i="28"/>
  <c r="P109" i="28"/>
  <c r="X109" i="28" s="1"/>
  <c r="Z109" i="28" s="1"/>
  <c r="N109" i="28"/>
  <c r="L109" i="28"/>
  <c r="H109" i="28"/>
  <c r="D109" i="28"/>
  <c r="B109" i="28"/>
  <c r="Z108" i="28"/>
  <c r="X108" i="28"/>
  <c r="L108" i="28"/>
  <c r="N108" i="28" s="1"/>
  <c r="B108" i="28"/>
  <c r="Z107" i="28"/>
  <c r="X107" i="28"/>
  <c r="N107" i="28"/>
  <c r="L107" i="28"/>
  <c r="B107" i="28"/>
  <c r="Z106" i="28"/>
  <c r="X106" i="28"/>
  <c r="L106" i="28"/>
  <c r="N106" i="28" s="1"/>
  <c r="B106" i="28"/>
  <c r="X105" i="28"/>
  <c r="Z105" i="28" s="1"/>
  <c r="L105" i="28"/>
  <c r="N105" i="28" s="1"/>
  <c r="B105" i="28"/>
  <c r="Z104" i="28"/>
  <c r="X104" i="28"/>
  <c r="N104" i="28"/>
  <c r="L104" i="28"/>
  <c r="B104" i="28"/>
  <c r="T103" i="28"/>
  <c r="P103" i="28"/>
  <c r="X103" i="28" s="1"/>
  <c r="Z103" i="28" s="1"/>
  <c r="H103" i="28"/>
  <c r="D103" i="28"/>
  <c r="L103" i="28" s="1"/>
  <c r="N103" i="28" s="1"/>
  <c r="B103" i="28"/>
  <c r="Z102" i="28"/>
  <c r="X102" i="28"/>
  <c r="L102" i="28"/>
  <c r="N102" i="28" s="1"/>
  <c r="B102" i="28"/>
  <c r="X101" i="28"/>
  <c r="Z101" i="28" s="1"/>
  <c r="N101" i="28"/>
  <c r="L101" i="28"/>
  <c r="B101" i="28"/>
  <c r="X100" i="28"/>
  <c r="T100" i="28"/>
  <c r="Z100" i="28" s="1"/>
  <c r="P100" i="28"/>
  <c r="H100" i="28"/>
  <c r="D100" i="28"/>
  <c r="B100" i="28"/>
  <c r="Z99" i="28"/>
  <c r="X99" i="28"/>
  <c r="N99" i="28"/>
  <c r="L99" i="28"/>
  <c r="B99" i="28"/>
  <c r="Z98" i="28"/>
  <c r="X98" i="28"/>
  <c r="L98" i="28"/>
  <c r="N98" i="28" s="1"/>
  <c r="B98" i="28"/>
  <c r="T97" i="28"/>
  <c r="P97" i="28"/>
  <c r="X97" i="28" s="1"/>
  <c r="Z97" i="28" s="1"/>
  <c r="N97" i="28"/>
  <c r="L97" i="28"/>
  <c r="H97" i="28"/>
  <c r="D97" i="28"/>
  <c r="B97" i="28"/>
  <c r="Z96" i="28"/>
  <c r="X96" i="28"/>
  <c r="L96" i="28"/>
  <c r="N96" i="28" s="1"/>
  <c r="B96" i="28"/>
  <c r="Z95" i="28"/>
  <c r="X95" i="28"/>
  <c r="N95" i="28"/>
  <c r="L95" i="28"/>
  <c r="B95" i="28"/>
  <c r="Z94" i="28"/>
  <c r="X94" i="28"/>
  <c r="L94" i="28"/>
  <c r="N94" i="28" s="1"/>
  <c r="B94" i="28"/>
  <c r="T93" i="28"/>
  <c r="P93" i="28"/>
  <c r="X93" i="28" s="1"/>
  <c r="N93" i="28"/>
  <c r="L93" i="28"/>
  <c r="H93" i="28"/>
  <c r="D93" i="28"/>
  <c r="B93" i="28"/>
  <c r="Z92" i="28"/>
  <c r="X92" i="28"/>
  <c r="N92" i="28"/>
  <c r="L92" i="28"/>
  <c r="B92" i="28"/>
  <c r="Z91" i="28"/>
  <c r="X91" i="28"/>
  <c r="N91" i="28"/>
  <c r="L91" i="28"/>
  <c r="B91" i="28"/>
  <c r="T90" i="28"/>
  <c r="P90" i="28"/>
  <c r="X90" i="28" s="1"/>
  <c r="H90" i="28"/>
  <c r="D90" i="28"/>
  <c r="L90" i="28" s="1"/>
  <c r="N90" i="28" s="1"/>
  <c r="B90" i="28"/>
  <c r="X89" i="28"/>
  <c r="Z89" i="28" s="1"/>
  <c r="L89" i="28"/>
  <c r="N89" i="28" s="1"/>
  <c r="J89" i="28"/>
  <c r="B89" i="28"/>
  <c r="T88" i="28"/>
  <c r="P88" i="28"/>
  <c r="X88" i="28" s="1"/>
  <c r="Z88" i="28" s="1"/>
  <c r="H88" i="28"/>
  <c r="D88" i="28"/>
  <c r="B88" i="28"/>
  <c r="Z87" i="28"/>
  <c r="X87" i="28"/>
  <c r="N87" i="28"/>
  <c r="L87" i="28"/>
  <c r="B87" i="28"/>
  <c r="T86" i="28"/>
  <c r="P86" i="28"/>
  <c r="L86" i="28"/>
  <c r="H86" i="28"/>
  <c r="N86" i="28" s="1"/>
  <c r="D86" i="28"/>
  <c r="B86" i="28"/>
  <c r="Z85" i="28"/>
  <c r="X85" i="28"/>
  <c r="V85" i="28"/>
  <c r="L85" i="28"/>
  <c r="N85" i="28" s="1"/>
  <c r="B85" i="28"/>
  <c r="X84" i="28"/>
  <c r="T84" i="28"/>
  <c r="Z84" i="28" s="1"/>
  <c r="P84" i="28"/>
  <c r="H84" i="28"/>
  <c r="D84" i="28"/>
  <c r="L84" i="28" s="1"/>
  <c r="B84" i="28"/>
  <c r="Z83" i="28"/>
  <c r="X83" i="28"/>
  <c r="N83" i="28"/>
  <c r="L83" i="28"/>
  <c r="B83" i="28"/>
  <c r="T82" i="28"/>
  <c r="P82" i="28"/>
  <c r="H82" i="28"/>
  <c r="D82" i="28"/>
  <c r="L82" i="28" s="1"/>
  <c r="N82" i="28" s="1"/>
  <c r="B82" i="28"/>
  <c r="Z81" i="28"/>
  <c r="X81" i="28"/>
  <c r="N81" i="28"/>
  <c r="L81" i="28"/>
  <c r="B81" i="28"/>
  <c r="Z80" i="28"/>
  <c r="X80" i="28"/>
  <c r="N80" i="28"/>
  <c r="L80" i="28"/>
  <c r="B80" i="28"/>
  <c r="Z79" i="28"/>
  <c r="X79" i="28"/>
  <c r="T79" i="28"/>
  <c r="P79" i="28"/>
  <c r="N79" i="28"/>
  <c r="L79" i="28"/>
  <c r="H79" i="28"/>
  <c r="D79" i="28"/>
  <c r="B79" i="28"/>
  <c r="Z78" i="28"/>
  <c r="X78" i="28"/>
  <c r="N78" i="28"/>
  <c r="L78" i="28"/>
  <c r="B78" i="28"/>
  <c r="X77" i="28"/>
  <c r="Z77" i="28" s="1"/>
  <c r="N77" i="28"/>
  <c r="L77" i="28"/>
  <c r="B77" i="28"/>
  <c r="T76" i="28"/>
  <c r="P76" i="28"/>
  <c r="X76" i="28" s="1"/>
  <c r="Z76" i="28" s="1"/>
  <c r="H76" i="28"/>
  <c r="D76" i="28"/>
  <c r="B76" i="28"/>
  <c r="Z75" i="28"/>
  <c r="X75" i="28"/>
  <c r="N75" i="28"/>
  <c r="L75" i="28"/>
  <c r="B75" i="28"/>
  <c r="V74" i="28"/>
  <c r="T74" i="28"/>
  <c r="Z74" i="28" s="1"/>
  <c r="P74" i="28"/>
  <c r="L74" i="28"/>
  <c r="H74" i="28"/>
  <c r="N74" i="28" s="1"/>
  <c r="D74" i="28"/>
  <c r="B74" i="28"/>
  <c r="Z73" i="28"/>
  <c r="X73" i="28"/>
  <c r="L73" i="28"/>
  <c r="N73" i="28" s="1"/>
  <c r="B73" i="28"/>
  <c r="X72" i="28"/>
  <c r="T72" i="28"/>
  <c r="P72" i="28"/>
  <c r="H72" i="28"/>
  <c r="D72" i="28"/>
  <c r="L72" i="28" s="1"/>
  <c r="B72" i="28"/>
  <c r="Z71" i="28"/>
  <c r="X71" i="28"/>
  <c r="N71" i="28"/>
  <c r="L71" i="28"/>
  <c r="B71" i="28"/>
  <c r="T70" i="28"/>
  <c r="Z70" i="28" s="1"/>
  <c r="P70" i="28"/>
  <c r="N70" i="28"/>
  <c r="H70" i="28"/>
  <c r="D70" i="28"/>
  <c r="L70" i="28" s="1"/>
  <c r="B70" i="28"/>
  <c r="X69" i="28"/>
  <c r="Z69" i="28" s="1"/>
  <c r="N69" i="28"/>
  <c r="L69" i="28"/>
  <c r="B69" i="28"/>
  <c r="Z68" i="28"/>
  <c r="T68" i="28"/>
  <c r="P68" i="28"/>
  <c r="X68" i="28" s="1"/>
  <c r="J68" i="28"/>
  <c r="H68" i="28"/>
  <c r="D68" i="28"/>
  <c r="B68" i="28"/>
  <c r="Z67" i="28"/>
  <c r="X67" i="28"/>
  <c r="N67" i="28"/>
  <c r="L67" i="28"/>
  <c r="B67" i="28"/>
  <c r="T66" i="28"/>
  <c r="P66" i="28"/>
  <c r="L66" i="28"/>
  <c r="H66" i="28"/>
  <c r="D66" i="28"/>
  <c r="B66" i="28"/>
  <c r="Z65" i="28"/>
  <c r="X65" i="28"/>
  <c r="V65" i="28"/>
  <c r="L65" i="28"/>
  <c r="N65" i="28" s="1"/>
  <c r="B65" i="28"/>
  <c r="X64" i="28"/>
  <c r="T64" i="28"/>
  <c r="Z64" i="28" s="1"/>
  <c r="P64" i="28"/>
  <c r="H64" i="28"/>
  <c r="D64" i="28"/>
  <c r="L64" i="28" s="1"/>
  <c r="B64" i="28"/>
  <c r="Z63" i="28"/>
  <c r="X63" i="28"/>
  <c r="N63" i="28"/>
  <c r="L63" i="28"/>
  <c r="B63" i="28"/>
  <c r="Z62" i="28"/>
  <c r="X62" i="28"/>
  <c r="N62" i="28"/>
  <c r="L62" i="28"/>
  <c r="B62" i="28"/>
  <c r="Z61" i="28"/>
  <c r="X61" i="28"/>
  <c r="L61" i="28"/>
  <c r="N61" i="28" s="1"/>
  <c r="J61" i="28"/>
  <c r="B61" i="28"/>
  <c r="X60" i="28"/>
  <c r="Z60" i="28" s="1"/>
  <c r="L60" i="28"/>
  <c r="N60" i="28" s="1"/>
  <c r="B60" i="28"/>
  <c r="Z59" i="28"/>
  <c r="X59" i="28"/>
  <c r="N59" i="28"/>
  <c r="L59" i="28"/>
  <c r="B59" i="28"/>
  <c r="Z58" i="28"/>
  <c r="X58" i="28"/>
  <c r="N58" i="28"/>
  <c r="L58" i="28"/>
  <c r="B58" i="28"/>
  <c r="X57" i="28"/>
  <c r="Z57" i="28" s="1"/>
  <c r="N57" i="28"/>
  <c r="L57" i="28"/>
  <c r="J57" i="28"/>
  <c r="B57" i="28"/>
  <c r="Z56" i="28"/>
  <c r="X56" i="28"/>
  <c r="N56" i="28"/>
  <c r="L56" i="28"/>
  <c r="B56" i="28"/>
  <c r="Z55" i="28"/>
  <c r="X55" i="28"/>
  <c r="N55" i="28"/>
  <c r="L55" i="28"/>
  <c r="B55" i="28"/>
  <c r="Z54" i="28"/>
  <c r="X54" i="28"/>
  <c r="N54" i="28"/>
  <c r="L54" i="28"/>
  <c r="J54" i="28"/>
  <c r="B54" i="28"/>
  <c r="T53" i="28"/>
  <c r="P53" i="28"/>
  <c r="X53" i="28" s="1"/>
  <c r="Z53" i="28" s="1"/>
  <c r="N53" i="28"/>
  <c r="L53" i="28"/>
  <c r="H53" i="28"/>
  <c r="D53" i="28"/>
  <c r="B53" i="28"/>
  <c r="X52" i="28"/>
  <c r="Z52" i="28" s="1"/>
  <c r="L52" i="28"/>
  <c r="N52" i="28" s="1"/>
  <c r="B52" i="28"/>
  <c r="Z51" i="28"/>
  <c r="X51" i="28"/>
  <c r="N51" i="28"/>
  <c r="L51" i="28"/>
  <c r="J51" i="28"/>
  <c r="B51" i="28"/>
  <c r="Z50" i="28"/>
  <c r="X50" i="28"/>
  <c r="L50" i="28"/>
  <c r="N50" i="28" s="1"/>
  <c r="B50" i="28"/>
  <c r="Z49" i="28"/>
  <c r="X49" i="28"/>
  <c r="N49" i="28"/>
  <c r="L49" i="28"/>
  <c r="B49" i="28"/>
  <c r="X48" i="28"/>
  <c r="Z48" i="28" s="1"/>
  <c r="N48" i="28"/>
  <c r="L48" i="28"/>
  <c r="J48" i="28"/>
  <c r="B48" i="28"/>
  <c r="Z47" i="28"/>
  <c r="X47" i="28"/>
  <c r="V47" i="28"/>
  <c r="N47" i="28"/>
  <c r="L47" i="28"/>
  <c r="B47" i="28"/>
  <c r="X46" i="28"/>
  <c r="Z46" i="28" s="1"/>
  <c r="N46" i="28"/>
  <c r="L46" i="28"/>
  <c r="B46" i="28"/>
  <c r="Z45" i="28"/>
  <c r="X45" i="28"/>
  <c r="N45" i="28"/>
  <c r="L45" i="28"/>
  <c r="J45" i="28"/>
  <c r="B45" i="28"/>
  <c r="Z44" i="28"/>
  <c r="X44" i="28"/>
  <c r="L44" i="28"/>
  <c r="N44" i="28" s="1"/>
  <c r="B44" i="28"/>
  <c r="Z43" i="28"/>
  <c r="X43" i="28"/>
  <c r="T43" i="28"/>
  <c r="P43" i="28"/>
  <c r="L43" i="28"/>
  <c r="H43" i="28"/>
  <c r="D43" i="28"/>
  <c r="B43" i="28"/>
  <c r="T42" i="28" a="1"/>
  <c r="T42" i="28" s="1"/>
  <c r="P42" i="28" a="1"/>
  <c r="P42" i="28"/>
  <c r="X42" i="28" s="1"/>
  <c r="H42" i="28" a="1"/>
  <c r="H42" i="28" s="1"/>
  <c r="D42" i="28" a="1"/>
  <c r="D42" i="28"/>
  <c r="L42" i="28" s="1"/>
  <c r="T40" i="28"/>
  <c r="Z38" i="28"/>
  <c r="X38" i="28"/>
  <c r="N38" i="28"/>
  <c r="L38" i="28"/>
  <c r="J38" i="28"/>
  <c r="B38" i="28"/>
  <c r="Z37" i="28"/>
  <c r="X37" i="28"/>
  <c r="V37" i="28"/>
  <c r="N37" i="28"/>
  <c r="L37" i="28"/>
  <c r="J37" i="28"/>
  <c r="B37" i="28"/>
  <c r="Z36" i="28"/>
  <c r="X36" i="28"/>
  <c r="N36" i="28"/>
  <c r="L36" i="28"/>
  <c r="B36" i="28"/>
  <c r="Z35" i="28"/>
  <c r="X35" i="28"/>
  <c r="N35" i="28"/>
  <c r="L35" i="28"/>
  <c r="J35" i="28"/>
  <c r="B35" i="28"/>
  <c r="Z34" i="28"/>
  <c r="X34" i="28"/>
  <c r="N34" i="28"/>
  <c r="L34" i="28"/>
  <c r="J34" i="28"/>
  <c r="B34" i="28"/>
  <c r="Z33" i="28"/>
  <c r="X33" i="28"/>
  <c r="V33" i="28"/>
  <c r="N33" i="28"/>
  <c r="L33" i="28"/>
  <c r="J33" i="28"/>
  <c r="B33" i="28"/>
  <c r="Z32" i="28"/>
  <c r="X32" i="28"/>
  <c r="N32" i="28"/>
  <c r="L32" i="28"/>
  <c r="J32" i="28"/>
  <c r="B32" i="28"/>
  <c r="Z31" i="28"/>
  <c r="X31" i="28"/>
  <c r="N31" i="28"/>
  <c r="L31" i="28"/>
  <c r="B31" i="28"/>
  <c r="Z30" i="28"/>
  <c r="X30" i="28"/>
  <c r="N30" i="28"/>
  <c r="L30" i="28"/>
  <c r="J30" i="28"/>
  <c r="B30" i="28"/>
  <c r="Z29" i="28"/>
  <c r="X29" i="28"/>
  <c r="V29" i="28"/>
  <c r="N29" i="28"/>
  <c r="L29" i="28"/>
  <c r="J29" i="28"/>
  <c r="B29" i="28"/>
  <c r="Z28" i="28"/>
  <c r="X28" i="28"/>
  <c r="N28" i="28"/>
  <c r="L28" i="28"/>
  <c r="B28" i="28"/>
  <c r="Z27" i="28"/>
  <c r="X27" i="28"/>
  <c r="N27" i="28"/>
  <c r="L27" i="28"/>
  <c r="J27" i="28"/>
  <c r="B27" i="28"/>
  <c r="Z26" i="28"/>
  <c r="X26" i="28"/>
  <c r="N26" i="28"/>
  <c r="L26" i="28"/>
  <c r="J26" i="28"/>
  <c r="B26" i="28"/>
  <c r="Z25" i="28"/>
  <c r="X25" i="28"/>
  <c r="V25" i="28"/>
  <c r="N25" i="28"/>
  <c r="L25" i="28"/>
  <c r="J25" i="28"/>
  <c r="B25" i="28"/>
  <c r="Z24" i="28"/>
  <c r="X24" i="28"/>
  <c r="N24" i="28"/>
  <c r="L24" i="28"/>
  <c r="J24" i="28"/>
  <c r="B24" i="28"/>
  <c r="Z23" i="28"/>
  <c r="X23" i="28"/>
  <c r="N23" i="28"/>
  <c r="L23" i="28"/>
  <c r="B23" i="28"/>
  <c r="Z22" i="28"/>
  <c r="X22" i="28"/>
  <c r="N22" i="28"/>
  <c r="L22" i="28"/>
  <c r="J22" i="28"/>
  <c r="B22" i="28"/>
  <c r="Z21" i="28"/>
  <c r="X21" i="28"/>
  <c r="V21" i="28"/>
  <c r="N21" i="28"/>
  <c r="L21" i="28"/>
  <c r="J21" i="28"/>
  <c r="B21" i="28"/>
  <c r="X20" i="28"/>
  <c r="Z20" i="28" s="1"/>
  <c r="L20" i="28"/>
  <c r="N20" i="28" s="1"/>
  <c r="B20" i="28"/>
  <c r="Z19" i="28"/>
  <c r="X19" i="28"/>
  <c r="T19" i="28"/>
  <c r="P19" i="28"/>
  <c r="J19" i="28"/>
  <c r="H19" i="28"/>
  <c r="L19" i="28" s="1"/>
  <c r="N19" i="28" s="1"/>
  <c r="D19" i="28"/>
  <c r="Z17" i="28"/>
  <c r="P17" i="28"/>
  <c r="X17" i="28" s="1"/>
  <c r="N17" i="28"/>
  <c r="L17" i="28"/>
  <c r="D17" i="28"/>
  <c r="B17" i="28"/>
  <c r="Z16" i="28"/>
  <c r="X16" i="28"/>
  <c r="P16" i="28"/>
  <c r="N16" i="28"/>
  <c r="D16" i="28"/>
  <c r="B16" i="28"/>
  <c r="Z15" i="28"/>
  <c r="P15" i="28"/>
  <c r="X15" i="28" s="1"/>
  <c r="N15" i="28"/>
  <c r="L15" i="28"/>
  <c r="D15" i="28"/>
  <c r="B15" i="28"/>
  <c r="Z14" i="28"/>
  <c r="P14" i="28"/>
  <c r="X14" i="28" s="1"/>
  <c r="N14" i="28"/>
  <c r="D14" i="28"/>
  <c r="L14" i="28" s="1"/>
  <c r="B14" i="28"/>
  <c r="Z13" i="28"/>
  <c r="X13" i="28"/>
  <c r="P13" i="28"/>
  <c r="L13" i="28"/>
  <c r="N13" i="28" s="1"/>
  <c r="D13" i="28"/>
  <c r="B13" i="28"/>
  <c r="T12" i="28"/>
  <c r="H12" i="28"/>
  <c r="J69" i="28" s="1"/>
  <c r="D4" i="28"/>
  <c r="B39" i="27"/>
  <c r="B38" i="27"/>
  <c r="T34" i="27"/>
  <c r="P34" i="27"/>
  <c r="H34" i="27"/>
  <c r="N34" i="27" s="1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Z24" i="27" s="1"/>
  <c r="P24" i="27"/>
  <c r="H24" i="27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D21" i="27"/>
  <c r="B21" i="27"/>
  <c r="T20" i="27"/>
  <c r="P20" i="27"/>
  <c r="H20" i="27"/>
  <c r="N20" i="27" s="1"/>
  <c r="D20" i="27"/>
  <c r="T16" i="27"/>
  <c r="P16" i="27"/>
  <c r="H16" i="27"/>
  <c r="N16" i="27" s="1"/>
  <c r="D16" i="27"/>
  <c r="B16" i="27"/>
  <c r="T15" i="27"/>
  <c r="Z15" i="27" s="1"/>
  <c r="P15" i="27"/>
  <c r="H15" i="27"/>
  <c r="N15" i="27" s="1"/>
  <c r="D15" i="27"/>
  <c r="T13" i="27"/>
  <c r="Z13" i="27" s="1"/>
  <c r="P13" i="27"/>
  <c r="H13" i="27"/>
  <c r="D13" i="27"/>
  <c r="B13" i="27"/>
  <c r="T12" i="27"/>
  <c r="V24" i="27" s="1"/>
  <c r="P12" i="27"/>
  <c r="H12" i="27"/>
  <c r="J36" i="27" s="1"/>
  <c r="D12" i="27"/>
  <c r="F24" i="27" s="1"/>
  <c r="D5" i="27"/>
  <c r="D4" i="27"/>
  <c r="B39" i="26"/>
  <c r="B38" i="26"/>
  <c r="T34" i="26"/>
  <c r="Z34" i="26" s="1"/>
  <c r="P34" i="26"/>
  <c r="H34" i="26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16" i="26" s="1"/>
  <c r="P12" i="26"/>
  <c r="R22" i="26" s="1"/>
  <c r="H12" i="26"/>
  <c r="J21" i="26" s="1"/>
  <c r="D12" i="26"/>
  <c r="F18" i="26" s="1"/>
  <c r="D5" i="26"/>
  <c r="D4" i="26"/>
  <c r="X95" i="25"/>
  <c r="Z95" i="25" s="1"/>
  <c r="V95" i="25"/>
  <c r="N95" i="25"/>
  <c r="L95" i="25"/>
  <c r="J95" i="25"/>
  <c r="Z91" i="25"/>
  <c r="X91" i="25"/>
  <c r="V91" i="25"/>
  <c r="P91" i="25"/>
  <c r="N91" i="25"/>
  <c r="L91" i="25"/>
  <c r="D91" i="25"/>
  <c r="B91" i="25"/>
  <c r="Z90" i="25"/>
  <c r="X90" i="25"/>
  <c r="P90" i="25"/>
  <c r="N90" i="25"/>
  <c r="L90" i="25"/>
  <c r="J90" i="25"/>
  <c r="D90" i="25"/>
  <c r="B90" i="25"/>
  <c r="P89" i="25"/>
  <c r="N89" i="25"/>
  <c r="L89" i="25"/>
  <c r="D89" i="25"/>
  <c r="B89" i="25"/>
  <c r="X88" i="25"/>
  <c r="Z88" i="25" s="1"/>
  <c r="P88" i="25"/>
  <c r="J88" i="25"/>
  <c r="D88" i="25"/>
  <c r="B88" i="25"/>
  <c r="V87" i="25"/>
  <c r="T87" i="25"/>
  <c r="H87" i="25"/>
  <c r="Z85" i="25"/>
  <c r="X85" i="25"/>
  <c r="V85" i="25"/>
  <c r="N85" i="25"/>
  <c r="L85" i="25"/>
  <c r="J85" i="25"/>
  <c r="B85" i="25"/>
  <c r="Z84" i="25"/>
  <c r="T84" i="25"/>
  <c r="P84" i="25"/>
  <c r="X84" i="25" s="1"/>
  <c r="H84" i="25"/>
  <c r="D84" i="25"/>
  <c r="B84" i="25"/>
  <c r="Z83" i="25"/>
  <c r="X83" i="25"/>
  <c r="N83" i="25"/>
  <c r="L83" i="25"/>
  <c r="B83" i="25"/>
  <c r="Z82" i="25"/>
  <c r="X82" i="25"/>
  <c r="N82" i="25"/>
  <c r="L82" i="25"/>
  <c r="B82" i="25"/>
  <c r="V81" i="25"/>
  <c r="T81" i="25"/>
  <c r="X81" i="25" s="1"/>
  <c r="Z81" i="25" s="1"/>
  <c r="P81" i="25"/>
  <c r="N81" i="25"/>
  <c r="J81" i="25"/>
  <c r="H81" i="25"/>
  <c r="D81" i="25"/>
  <c r="L81" i="25" s="1"/>
  <c r="B81" i="25"/>
  <c r="X80" i="25"/>
  <c r="Z80" i="25" s="1"/>
  <c r="L80" i="25"/>
  <c r="N80" i="25" s="1"/>
  <c r="J80" i="25"/>
  <c r="B80" i="25"/>
  <c r="Z79" i="25"/>
  <c r="X79" i="25"/>
  <c r="N79" i="25"/>
  <c r="L79" i="25"/>
  <c r="B79" i="25"/>
  <c r="T78" i="25"/>
  <c r="P78" i="25"/>
  <c r="L78" i="25"/>
  <c r="H78" i="25"/>
  <c r="N78" i="25" s="1"/>
  <c r="D78" i="25"/>
  <c r="B78" i="25"/>
  <c r="X77" i="25"/>
  <c r="Z77" i="25" s="1"/>
  <c r="V77" i="25"/>
  <c r="N77" i="25"/>
  <c r="L77" i="25"/>
  <c r="J77" i="25"/>
  <c r="B77" i="25"/>
  <c r="X76" i="25"/>
  <c r="Z76" i="25" s="1"/>
  <c r="L76" i="25"/>
  <c r="N76" i="25" s="1"/>
  <c r="J76" i="25"/>
  <c r="B76" i="25"/>
  <c r="Z75" i="25"/>
  <c r="T75" i="25"/>
  <c r="P75" i="25"/>
  <c r="X75" i="25" s="1"/>
  <c r="J75" i="25"/>
  <c r="H75" i="25"/>
  <c r="D75" i="25"/>
  <c r="L75" i="25" s="1"/>
  <c r="N75" i="25" s="1"/>
  <c r="B75" i="25"/>
  <c r="Z74" i="25"/>
  <c r="X74" i="25"/>
  <c r="L74" i="25"/>
  <c r="N74" i="25" s="1"/>
  <c r="B74" i="25"/>
  <c r="X73" i="25"/>
  <c r="Z73" i="25" s="1"/>
  <c r="V73" i="25"/>
  <c r="N73" i="25"/>
  <c r="L73" i="25"/>
  <c r="J73" i="25"/>
  <c r="B73" i="25"/>
  <c r="Z72" i="25"/>
  <c r="X72" i="25"/>
  <c r="N72" i="25"/>
  <c r="L72" i="25"/>
  <c r="J72" i="25"/>
  <c r="B72" i="25"/>
  <c r="Z71" i="25"/>
  <c r="T71" i="25"/>
  <c r="P71" i="25"/>
  <c r="X71" i="25" s="1"/>
  <c r="J71" i="25"/>
  <c r="H71" i="25"/>
  <c r="D71" i="25"/>
  <c r="L71" i="25" s="1"/>
  <c r="N71" i="25" s="1"/>
  <c r="B71" i="25"/>
  <c r="Z70" i="25"/>
  <c r="X70" i="25"/>
  <c r="L70" i="25"/>
  <c r="N70" i="25" s="1"/>
  <c r="B70" i="25"/>
  <c r="V69" i="25"/>
  <c r="T69" i="25"/>
  <c r="P69" i="25"/>
  <c r="X69" i="25" s="1"/>
  <c r="Z69" i="25" s="1"/>
  <c r="N69" i="25"/>
  <c r="L69" i="25"/>
  <c r="H69" i="25"/>
  <c r="D69" i="25"/>
  <c r="B69" i="25"/>
  <c r="X68" i="25"/>
  <c r="Z68" i="25" s="1"/>
  <c r="L68" i="25"/>
  <c r="N68" i="25" s="1"/>
  <c r="B68" i="25"/>
  <c r="Z67" i="25"/>
  <c r="X67" i="25"/>
  <c r="T67" i="25"/>
  <c r="P67" i="25"/>
  <c r="J67" i="25"/>
  <c r="H67" i="25"/>
  <c r="L67" i="25" s="1"/>
  <c r="N67" i="25" s="1"/>
  <c r="D67" i="25"/>
  <c r="B67" i="25"/>
  <c r="Z66" i="25"/>
  <c r="X66" i="25"/>
  <c r="N66" i="25"/>
  <c r="L66" i="25"/>
  <c r="B66" i="25"/>
  <c r="Z65" i="25"/>
  <c r="X65" i="25"/>
  <c r="V65" i="25"/>
  <c r="L65" i="25"/>
  <c r="N65" i="25" s="1"/>
  <c r="J65" i="25"/>
  <c r="B65" i="25"/>
  <c r="X64" i="25"/>
  <c r="Z64" i="25" s="1"/>
  <c r="T64" i="25"/>
  <c r="P64" i="25"/>
  <c r="H64" i="25"/>
  <c r="D64" i="25"/>
  <c r="B64" i="25"/>
  <c r="Z63" i="25"/>
  <c r="X63" i="25"/>
  <c r="N63" i="25"/>
  <c r="L63" i="25"/>
  <c r="B63" i="25"/>
  <c r="T62" i="25"/>
  <c r="P62" i="25"/>
  <c r="L62" i="25"/>
  <c r="H62" i="25"/>
  <c r="N62" i="25" s="1"/>
  <c r="D62" i="25"/>
  <c r="B62" i="25"/>
  <c r="X61" i="25"/>
  <c r="Z61" i="25" s="1"/>
  <c r="V61" i="25"/>
  <c r="N61" i="25"/>
  <c r="L61" i="25"/>
  <c r="J61" i="25"/>
  <c r="B61" i="25"/>
  <c r="T60" i="25"/>
  <c r="P60" i="25"/>
  <c r="X60" i="25" s="1"/>
  <c r="H60" i="25"/>
  <c r="D60" i="25"/>
  <c r="B60" i="25"/>
  <c r="Z59" i="25"/>
  <c r="X59" i="25"/>
  <c r="N59" i="25"/>
  <c r="L59" i="25"/>
  <c r="J59" i="25"/>
  <c r="B59" i="25"/>
  <c r="T58" i="25"/>
  <c r="Z58" i="25" s="1"/>
  <c r="P58" i="25"/>
  <c r="X58" i="25" s="1"/>
  <c r="N58" i="25"/>
  <c r="L58" i="25"/>
  <c r="J58" i="25"/>
  <c r="H58" i="25"/>
  <c r="D58" i="25"/>
  <c r="B58" i="25"/>
  <c r="Z57" i="25"/>
  <c r="X57" i="25"/>
  <c r="V57" i="25"/>
  <c r="L57" i="25"/>
  <c r="N57" i="25" s="1"/>
  <c r="J57" i="25"/>
  <c r="B57" i="25"/>
  <c r="X56" i="25"/>
  <c r="Z56" i="25" s="1"/>
  <c r="T56" i="25"/>
  <c r="P56" i="25"/>
  <c r="H56" i="25"/>
  <c r="D56" i="25"/>
  <c r="B56" i="25"/>
  <c r="Z55" i="25"/>
  <c r="X55" i="25"/>
  <c r="N55" i="25"/>
  <c r="L55" i="25"/>
  <c r="B55" i="25"/>
  <c r="Z54" i="25"/>
  <c r="X54" i="25"/>
  <c r="N54" i="25"/>
  <c r="L54" i="25"/>
  <c r="B54" i="25"/>
  <c r="Z53" i="25"/>
  <c r="X53" i="25"/>
  <c r="V53" i="25"/>
  <c r="L53" i="25"/>
  <c r="N53" i="25" s="1"/>
  <c r="J53" i="25"/>
  <c r="B53" i="25"/>
  <c r="X52" i="25"/>
  <c r="Z52" i="25" s="1"/>
  <c r="N52" i="25"/>
  <c r="L52" i="25"/>
  <c r="B52" i="25"/>
  <c r="Z51" i="25"/>
  <c r="X51" i="25"/>
  <c r="N51" i="25"/>
  <c r="L51" i="25"/>
  <c r="J51" i="25"/>
  <c r="B51" i="25"/>
  <c r="Z50" i="25"/>
  <c r="X50" i="25"/>
  <c r="L50" i="25"/>
  <c r="N50" i="25" s="1"/>
  <c r="J50" i="25"/>
  <c r="B50" i="25"/>
  <c r="X49" i="25"/>
  <c r="Z49" i="25" s="1"/>
  <c r="V49" i="25"/>
  <c r="N49" i="25"/>
  <c r="L49" i="25"/>
  <c r="J49" i="25"/>
  <c r="B49" i="25"/>
  <c r="Z48" i="25"/>
  <c r="X48" i="25"/>
  <c r="N48" i="25"/>
  <c r="L48" i="25"/>
  <c r="J48" i="25"/>
  <c r="B48" i="25"/>
  <c r="Z47" i="25"/>
  <c r="X47" i="25"/>
  <c r="N47" i="25"/>
  <c r="L47" i="25"/>
  <c r="B47" i="25"/>
  <c r="Z46" i="25"/>
  <c r="X46" i="25"/>
  <c r="N46" i="25"/>
  <c r="L46" i="25"/>
  <c r="B46" i="25"/>
  <c r="V45" i="25"/>
  <c r="T45" i="25"/>
  <c r="X45" i="25" s="1"/>
  <c r="Z45" i="25" s="1"/>
  <c r="P45" i="25"/>
  <c r="J45" i="25"/>
  <c r="H45" i="25"/>
  <c r="D45" i="25"/>
  <c r="L45" i="25" s="1"/>
  <c r="N45" i="25" s="1"/>
  <c r="B45" i="25"/>
  <c r="X44" i="25"/>
  <c r="Z44" i="25" s="1"/>
  <c r="L44" i="25"/>
  <c r="N44" i="25" s="1"/>
  <c r="J44" i="25"/>
  <c r="B44" i="25"/>
  <c r="Z43" i="25"/>
  <c r="X43" i="25"/>
  <c r="N43" i="25"/>
  <c r="L43" i="25"/>
  <c r="B43" i="25"/>
  <c r="X42" i="25"/>
  <c r="Z42" i="25" s="1"/>
  <c r="N42" i="25"/>
  <c r="L42" i="25"/>
  <c r="B42" i="25"/>
  <c r="Z41" i="25"/>
  <c r="X41" i="25"/>
  <c r="V41" i="25"/>
  <c r="N41" i="25"/>
  <c r="L41" i="25"/>
  <c r="J41" i="25"/>
  <c r="B41" i="25"/>
  <c r="Z40" i="25"/>
  <c r="X40" i="25"/>
  <c r="N40" i="25"/>
  <c r="L40" i="25"/>
  <c r="B40" i="25"/>
  <c r="Z39" i="25"/>
  <c r="X39" i="25"/>
  <c r="N39" i="25"/>
  <c r="L39" i="25"/>
  <c r="J39" i="25"/>
  <c r="B39" i="25"/>
  <c r="Z38" i="25"/>
  <c r="X38" i="25"/>
  <c r="L38" i="25"/>
  <c r="N38" i="25" s="1"/>
  <c r="J38" i="25"/>
  <c r="B38" i="25"/>
  <c r="X37" i="25"/>
  <c r="Z37" i="25" s="1"/>
  <c r="V37" i="25"/>
  <c r="N37" i="25"/>
  <c r="L37" i="25"/>
  <c r="J37" i="25"/>
  <c r="B37" i="25"/>
  <c r="X36" i="25"/>
  <c r="Z36" i="25" s="1"/>
  <c r="L36" i="25"/>
  <c r="N36" i="25" s="1"/>
  <c r="J36" i="25"/>
  <c r="B36" i="25"/>
  <c r="Z35" i="25"/>
  <c r="X35" i="25"/>
  <c r="N35" i="25"/>
  <c r="L35" i="25"/>
  <c r="B35" i="25"/>
  <c r="T34" i="25"/>
  <c r="P34" i="25"/>
  <c r="H34" i="25"/>
  <c r="D34" i="25"/>
  <c r="L34" i="25" s="1"/>
  <c r="B34" i="25"/>
  <c r="V33" i="25"/>
  <c r="T33" i="25" a="1"/>
  <c r="T33" i="25"/>
  <c r="Z33" i="25" s="1"/>
  <c r="P33" i="25" a="1"/>
  <c r="P33" i="25" s="1"/>
  <c r="X33" i="25" s="1"/>
  <c r="J33" i="25"/>
  <c r="H33" i="25" a="1"/>
  <c r="H33" i="25"/>
  <c r="N33" i="25" s="1"/>
  <c r="D33" i="25" a="1"/>
  <c r="D33" i="25" s="1"/>
  <c r="L33" i="25" s="1"/>
  <c r="Z29" i="25"/>
  <c r="X29" i="25"/>
  <c r="V29" i="25"/>
  <c r="N29" i="25"/>
  <c r="L29" i="25"/>
  <c r="J29" i="25"/>
  <c r="B29" i="25"/>
  <c r="Z28" i="25"/>
  <c r="X28" i="25"/>
  <c r="N28" i="25"/>
  <c r="L28" i="25"/>
  <c r="B28" i="25"/>
  <c r="Z27" i="25"/>
  <c r="X27" i="25"/>
  <c r="N27" i="25"/>
  <c r="L27" i="25"/>
  <c r="J27" i="25"/>
  <c r="B27" i="25"/>
  <c r="Z26" i="25"/>
  <c r="X26" i="25"/>
  <c r="N26" i="25"/>
  <c r="L26" i="25"/>
  <c r="J26" i="25"/>
  <c r="B26" i="25"/>
  <c r="Z25" i="25"/>
  <c r="X25" i="25"/>
  <c r="V25" i="25"/>
  <c r="N25" i="25"/>
  <c r="L25" i="25"/>
  <c r="J25" i="25"/>
  <c r="B25" i="25"/>
  <c r="Z24" i="25"/>
  <c r="X24" i="25"/>
  <c r="N24" i="25"/>
  <c r="L24" i="25"/>
  <c r="J24" i="25"/>
  <c r="B24" i="25"/>
  <c r="Z23" i="25"/>
  <c r="X23" i="25"/>
  <c r="N23" i="25"/>
  <c r="L23" i="25"/>
  <c r="B23" i="25"/>
  <c r="Z22" i="25"/>
  <c r="X22" i="25"/>
  <c r="N22" i="25"/>
  <c r="L22" i="25"/>
  <c r="B22" i="25"/>
  <c r="Z21" i="25"/>
  <c r="X21" i="25"/>
  <c r="V21" i="25"/>
  <c r="N21" i="25"/>
  <c r="L21" i="25"/>
  <c r="J21" i="25"/>
  <c r="B21" i="25"/>
  <c r="X20" i="25"/>
  <c r="Z20" i="25" s="1"/>
  <c r="L20" i="25"/>
  <c r="N20" i="25" s="1"/>
  <c r="B20" i="25"/>
  <c r="Z19" i="25"/>
  <c r="X19" i="25"/>
  <c r="T19" i="25"/>
  <c r="P19" i="25"/>
  <c r="J19" i="25"/>
  <c r="H19" i="25"/>
  <c r="L19" i="25" s="1"/>
  <c r="N19" i="25" s="1"/>
  <c r="D19" i="25"/>
  <c r="Z17" i="25"/>
  <c r="P17" i="25"/>
  <c r="X17" i="25" s="1"/>
  <c r="N17" i="25"/>
  <c r="L17" i="25"/>
  <c r="D17" i="25"/>
  <c r="B17" i="25"/>
  <c r="Z16" i="25"/>
  <c r="X16" i="25"/>
  <c r="P16" i="25"/>
  <c r="N16" i="25"/>
  <c r="D16" i="25"/>
  <c r="B16" i="25"/>
  <c r="Z15" i="25"/>
  <c r="P15" i="25"/>
  <c r="X15" i="25" s="1"/>
  <c r="N15" i="25"/>
  <c r="L15" i="25"/>
  <c r="D15" i="25"/>
  <c r="B15" i="25"/>
  <c r="Z14" i="25"/>
  <c r="P14" i="25"/>
  <c r="X14" i="25" s="1"/>
  <c r="N14" i="25"/>
  <c r="D14" i="25"/>
  <c r="L14" i="25" s="1"/>
  <c r="B14" i="25"/>
  <c r="Z13" i="25"/>
  <c r="X13" i="25"/>
  <c r="P13" i="25"/>
  <c r="L13" i="25"/>
  <c r="N13" i="25" s="1"/>
  <c r="D13" i="25"/>
  <c r="B13" i="25"/>
  <c r="T12" i="25"/>
  <c r="V88" i="25" s="1"/>
  <c r="H12" i="25"/>
  <c r="D4" i="25"/>
  <c r="B39" i="24"/>
  <c r="B38" i="24"/>
  <c r="T34" i="24"/>
  <c r="Z34" i="24" s="1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D24" i="24"/>
  <c r="T22" i="24"/>
  <c r="Z22" i="24" s="1"/>
  <c r="P22" i="24"/>
  <c r="H22" i="24"/>
  <c r="N22" i="24" s="1"/>
  <c r="D22" i="24"/>
  <c r="B22" i="24"/>
  <c r="T21" i="24"/>
  <c r="Z21" i="24" s="1"/>
  <c r="P21" i="24"/>
  <c r="H21" i="24"/>
  <c r="D21" i="24"/>
  <c r="B21" i="24"/>
  <c r="T20" i="24"/>
  <c r="P20" i="24"/>
  <c r="H20" i="24"/>
  <c r="N20" i="24" s="1"/>
  <c r="D20" i="24"/>
  <c r="T16" i="24"/>
  <c r="P16" i="24"/>
  <c r="H16" i="24"/>
  <c r="N16" i="24" s="1"/>
  <c r="D16" i="24"/>
  <c r="B16" i="24"/>
  <c r="T15" i="24"/>
  <c r="Z15" i="24" s="1"/>
  <c r="P15" i="24"/>
  <c r="H15" i="24"/>
  <c r="N15" i="24" s="1"/>
  <c r="D15" i="24"/>
  <c r="T13" i="24"/>
  <c r="Z13" i="24" s="1"/>
  <c r="P13" i="24"/>
  <c r="H13" i="24"/>
  <c r="D13" i="24"/>
  <c r="B13" i="24"/>
  <c r="T12" i="24"/>
  <c r="V24" i="24" s="1"/>
  <c r="P12" i="24"/>
  <c r="R34" i="24" s="1"/>
  <c r="H12" i="24"/>
  <c r="J36" i="24" s="1"/>
  <c r="D12" i="24"/>
  <c r="F24" i="24" s="1"/>
  <c r="D5" i="24"/>
  <c r="D4" i="24"/>
  <c r="B39" i="23"/>
  <c r="B38" i="23"/>
  <c r="T34" i="23"/>
  <c r="Z34" i="23" s="1"/>
  <c r="P34" i="23"/>
  <c r="H34" i="23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4" i="23" s="1"/>
  <c r="P12" i="23"/>
  <c r="R20" i="23" s="1"/>
  <c r="H12" i="23"/>
  <c r="J21" i="23" s="1"/>
  <c r="D12" i="23"/>
  <c r="F24" i="23" s="1"/>
  <c r="D5" i="23"/>
  <c r="D4" i="23"/>
  <c r="B39" i="22"/>
  <c r="B38" i="22"/>
  <c r="T34" i="22"/>
  <c r="P34" i="22"/>
  <c r="H34" i="22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D20" i="22"/>
  <c r="T16" i="22"/>
  <c r="Z16" i="22" s="1"/>
  <c r="P16" i="22"/>
  <c r="H16" i="22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P12" i="22"/>
  <c r="R29" i="22" s="1"/>
  <c r="H12" i="22"/>
  <c r="J21" i="22" s="1"/>
  <c r="D12" i="22"/>
  <c r="D5" i="22"/>
  <c r="D4" i="22"/>
  <c r="X99" i="21"/>
  <c r="Z99" i="21" s="1"/>
  <c r="L99" i="21"/>
  <c r="N99" i="21" s="1"/>
  <c r="Z95" i="21"/>
  <c r="X95" i="21"/>
  <c r="T95" i="21"/>
  <c r="P95" i="21"/>
  <c r="H95" i="21"/>
  <c r="D95" i="21"/>
  <c r="Z93" i="21"/>
  <c r="X93" i="21"/>
  <c r="N93" i="21"/>
  <c r="L93" i="21"/>
  <c r="B93" i="21"/>
  <c r="Z92" i="21"/>
  <c r="T92" i="21"/>
  <c r="P92" i="21"/>
  <c r="X92" i="21" s="1"/>
  <c r="N92" i="21"/>
  <c r="H92" i="21"/>
  <c r="D92" i="21"/>
  <c r="L92" i="21" s="1"/>
  <c r="B92" i="21"/>
  <c r="Z91" i="21"/>
  <c r="X91" i="21"/>
  <c r="N91" i="21"/>
  <c r="L91" i="21"/>
  <c r="B91" i="21"/>
  <c r="V90" i="21"/>
  <c r="T90" i="21"/>
  <c r="Z90" i="21" s="1"/>
  <c r="P90" i="21"/>
  <c r="X90" i="21" s="1"/>
  <c r="N90" i="21"/>
  <c r="L90" i="21"/>
  <c r="H90" i="21"/>
  <c r="D90" i="21"/>
  <c r="B90" i="21"/>
  <c r="X89" i="21"/>
  <c r="Z89" i="21" s="1"/>
  <c r="L89" i="21"/>
  <c r="N89" i="21" s="1"/>
  <c r="B89" i="21"/>
  <c r="Z88" i="21"/>
  <c r="X88" i="21"/>
  <c r="N88" i="21"/>
  <c r="L88" i="21"/>
  <c r="B88" i="21"/>
  <c r="T87" i="21"/>
  <c r="P87" i="21"/>
  <c r="H87" i="21"/>
  <c r="D87" i="21"/>
  <c r="L87" i="21" s="1"/>
  <c r="N87" i="21" s="1"/>
  <c r="B87" i="21"/>
  <c r="Z86" i="21"/>
  <c r="X86" i="21"/>
  <c r="V86" i="21"/>
  <c r="N86" i="21"/>
  <c r="L86" i="21"/>
  <c r="B86" i="21"/>
  <c r="X85" i="21"/>
  <c r="Z85" i="21" s="1"/>
  <c r="L85" i="21"/>
  <c r="N85" i="21" s="1"/>
  <c r="B85" i="21"/>
  <c r="Z84" i="21"/>
  <c r="X84" i="21"/>
  <c r="N84" i="21"/>
  <c r="L84" i="21"/>
  <c r="B84" i="21"/>
  <c r="Z83" i="21"/>
  <c r="X83" i="21"/>
  <c r="N83" i="21"/>
  <c r="L83" i="21"/>
  <c r="B83" i="21"/>
  <c r="Z82" i="21"/>
  <c r="X82" i="21"/>
  <c r="V82" i="21"/>
  <c r="N82" i="21"/>
  <c r="L82" i="21"/>
  <c r="B82" i="21"/>
  <c r="X81" i="21"/>
  <c r="Z81" i="21" s="1"/>
  <c r="L81" i="21"/>
  <c r="N81" i="21" s="1"/>
  <c r="B81" i="21"/>
  <c r="Z80" i="21"/>
  <c r="T80" i="21"/>
  <c r="P80" i="21"/>
  <c r="X80" i="21" s="1"/>
  <c r="H80" i="21"/>
  <c r="D80" i="21"/>
  <c r="L80" i="21" s="1"/>
  <c r="N80" i="21" s="1"/>
  <c r="B80" i="21"/>
  <c r="Z79" i="21"/>
  <c r="X79" i="21"/>
  <c r="L79" i="21"/>
  <c r="N79" i="21" s="1"/>
  <c r="B79" i="21"/>
  <c r="Z78" i="21"/>
  <c r="X78" i="21"/>
  <c r="V78" i="21"/>
  <c r="N78" i="21"/>
  <c r="L78" i="21"/>
  <c r="B78" i="21"/>
  <c r="X77" i="21"/>
  <c r="Z77" i="21" s="1"/>
  <c r="L77" i="21"/>
  <c r="N77" i="21" s="1"/>
  <c r="B77" i="21"/>
  <c r="Z76" i="21"/>
  <c r="T76" i="21"/>
  <c r="P76" i="21"/>
  <c r="X76" i="21" s="1"/>
  <c r="H76" i="21"/>
  <c r="D76" i="21"/>
  <c r="L76" i="21" s="1"/>
  <c r="N76" i="21" s="1"/>
  <c r="B76" i="21"/>
  <c r="Z75" i="21"/>
  <c r="X75" i="21"/>
  <c r="L75" i="21"/>
  <c r="N75" i="21" s="1"/>
  <c r="B75" i="21"/>
  <c r="Z74" i="21"/>
  <c r="X74" i="21"/>
  <c r="V74" i="21"/>
  <c r="N74" i="21"/>
  <c r="L74" i="21"/>
  <c r="B74" i="21"/>
  <c r="T73" i="21"/>
  <c r="P73" i="21"/>
  <c r="X73" i="21" s="1"/>
  <c r="H73" i="21"/>
  <c r="D73" i="21"/>
  <c r="L73" i="21" s="1"/>
  <c r="B73" i="21"/>
  <c r="Z72" i="21"/>
  <c r="X72" i="21"/>
  <c r="N72" i="21"/>
  <c r="L72" i="21"/>
  <c r="B72" i="21"/>
  <c r="Z71" i="21"/>
  <c r="X71" i="21"/>
  <c r="N71" i="21"/>
  <c r="L71" i="21"/>
  <c r="B71" i="21"/>
  <c r="Z70" i="21"/>
  <c r="X70" i="21"/>
  <c r="V70" i="21"/>
  <c r="N70" i="21"/>
  <c r="L70" i="21"/>
  <c r="B70" i="21"/>
  <c r="T69" i="21"/>
  <c r="Z69" i="21" s="1"/>
  <c r="P69" i="21"/>
  <c r="X69" i="21" s="1"/>
  <c r="H69" i="21"/>
  <c r="D69" i="21"/>
  <c r="B69" i="21"/>
  <c r="Z68" i="21"/>
  <c r="X68" i="21"/>
  <c r="N68" i="21"/>
  <c r="L68" i="21"/>
  <c r="B68" i="21"/>
  <c r="T67" i="21"/>
  <c r="P67" i="21"/>
  <c r="H67" i="21"/>
  <c r="D67" i="21"/>
  <c r="L67" i="21" s="1"/>
  <c r="N67" i="21" s="1"/>
  <c r="B67" i="21"/>
  <c r="Z66" i="21"/>
  <c r="X66" i="21"/>
  <c r="V66" i="21"/>
  <c r="N66" i="21"/>
  <c r="L66" i="21"/>
  <c r="B66" i="21"/>
  <c r="T65" i="21"/>
  <c r="P65" i="21"/>
  <c r="X65" i="21" s="1"/>
  <c r="Z65" i="21" s="1"/>
  <c r="H65" i="21"/>
  <c r="D65" i="21"/>
  <c r="B65" i="21"/>
  <c r="Z64" i="21"/>
  <c r="X64" i="21"/>
  <c r="N64" i="21"/>
  <c r="L64" i="21"/>
  <c r="B64" i="21"/>
  <c r="T63" i="21"/>
  <c r="P63" i="21"/>
  <c r="H63" i="21"/>
  <c r="N63" i="21" s="1"/>
  <c r="D63" i="21"/>
  <c r="L63" i="21" s="1"/>
  <c r="B63" i="21"/>
  <c r="Z62" i="21"/>
  <c r="X62" i="21"/>
  <c r="V62" i="21"/>
  <c r="N62" i="21"/>
  <c r="L62" i="21"/>
  <c r="B62" i="21"/>
  <c r="T61" i="21"/>
  <c r="Z61" i="21" s="1"/>
  <c r="P61" i="21"/>
  <c r="X61" i="21" s="1"/>
  <c r="H61" i="21"/>
  <c r="D61" i="21"/>
  <c r="B61" i="21"/>
  <c r="Z60" i="21"/>
  <c r="X60" i="21"/>
  <c r="N60" i="21"/>
  <c r="L60" i="21"/>
  <c r="B60" i="21"/>
  <c r="T59" i="21"/>
  <c r="P59" i="21"/>
  <c r="H59" i="21"/>
  <c r="D59" i="21"/>
  <c r="L59" i="21" s="1"/>
  <c r="N59" i="21" s="1"/>
  <c r="B59" i="21"/>
  <c r="Z58" i="21"/>
  <c r="X58" i="21"/>
  <c r="V58" i="21"/>
  <c r="N58" i="21"/>
  <c r="L58" i="21"/>
  <c r="B58" i="21"/>
  <c r="Z57" i="21"/>
  <c r="X57" i="21"/>
  <c r="N57" i="21"/>
  <c r="L57" i="21"/>
  <c r="B57" i="21"/>
  <c r="Z56" i="21"/>
  <c r="X56" i="21"/>
  <c r="T56" i="21"/>
  <c r="P56" i="21"/>
  <c r="H56" i="21"/>
  <c r="L56" i="21" s="1"/>
  <c r="N56" i="21" s="1"/>
  <c r="D56" i="21"/>
  <c r="B56" i="21"/>
  <c r="X55" i="21"/>
  <c r="Z55" i="21" s="1"/>
  <c r="N55" i="21"/>
  <c r="L55" i="21"/>
  <c r="B55" i="21"/>
  <c r="V54" i="21"/>
  <c r="T54" i="21"/>
  <c r="X54" i="21" s="1"/>
  <c r="Z54" i="21" s="1"/>
  <c r="P54" i="21"/>
  <c r="H54" i="21"/>
  <c r="D54" i="21"/>
  <c r="L54" i="21" s="1"/>
  <c r="N54" i="21" s="1"/>
  <c r="B54" i="21"/>
  <c r="Z53" i="21"/>
  <c r="X53" i="21"/>
  <c r="N53" i="21"/>
  <c r="L53" i="21"/>
  <c r="B53" i="21"/>
  <c r="Z52" i="21"/>
  <c r="T52" i="21"/>
  <c r="P52" i="21"/>
  <c r="X52" i="21" s="1"/>
  <c r="N52" i="21"/>
  <c r="H52" i="21"/>
  <c r="D52" i="21"/>
  <c r="L52" i="21" s="1"/>
  <c r="B52" i="21"/>
  <c r="Z51" i="21"/>
  <c r="X51" i="21"/>
  <c r="N51" i="21"/>
  <c r="L51" i="21"/>
  <c r="B51" i="21"/>
  <c r="V50" i="21"/>
  <c r="T50" i="21"/>
  <c r="Z50" i="21" s="1"/>
  <c r="P50" i="21"/>
  <c r="X50" i="21" s="1"/>
  <c r="N50" i="21"/>
  <c r="L50" i="21"/>
  <c r="H50" i="21"/>
  <c r="D50" i="21"/>
  <c r="B50" i="21"/>
  <c r="Z49" i="21"/>
  <c r="X49" i="21"/>
  <c r="N49" i="21"/>
  <c r="L49" i="21"/>
  <c r="B49" i="21"/>
  <c r="Z48" i="21"/>
  <c r="X48" i="21"/>
  <c r="N48" i="21"/>
  <c r="L48" i="21"/>
  <c r="B48" i="21"/>
  <c r="Z47" i="21"/>
  <c r="X47" i="21"/>
  <c r="L47" i="21"/>
  <c r="N47" i="21" s="1"/>
  <c r="B47" i="21"/>
  <c r="Z46" i="21"/>
  <c r="X46" i="21"/>
  <c r="V46" i="21"/>
  <c r="N46" i="21"/>
  <c r="L46" i="21"/>
  <c r="B46" i="21"/>
  <c r="Z45" i="21"/>
  <c r="X45" i="21"/>
  <c r="N45" i="21"/>
  <c r="L45" i="21"/>
  <c r="B45" i="21"/>
  <c r="Z44" i="21"/>
  <c r="X44" i="21"/>
  <c r="N44" i="21"/>
  <c r="L44" i="21"/>
  <c r="B44" i="21"/>
  <c r="X43" i="21"/>
  <c r="Z43" i="21" s="1"/>
  <c r="N43" i="21"/>
  <c r="L43" i="21"/>
  <c r="B43" i="21"/>
  <c r="Z42" i="21"/>
  <c r="X42" i="21"/>
  <c r="V42" i="21"/>
  <c r="N42" i="21"/>
  <c r="L42" i="21"/>
  <c r="B42" i="21"/>
  <c r="X41" i="21"/>
  <c r="Z41" i="21" s="1"/>
  <c r="L41" i="21"/>
  <c r="N41" i="21" s="1"/>
  <c r="B41" i="21"/>
  <c r="Z40" i="21"/>
  <c r="X40" i="21"/>
  <c r="N40" i="21"/>
  <c r="L40" i="21"/>
  <c r="B40" i="21"/>
  <c r="T39" i="21"/>
  <c r="P39" i="21"/>
  <c r="X39" i="21" s="1"/>
  <c r="L39" i="21"/>
  <c r="N39" i="21" s="1"/>
  <c r="H39" i="21"/>
  <c r="D39" i="21"/>
  <c r="B39" i="21"/>
  <c r="Z38" i="21"/>
  <c r="X38" i="21"/>
  <c r="V38" i="21"/>
  <c r="N38" i="21"/>
  <c r="L38" i="21"/>
  <c r="J38" i="21"/>
  <c r="B38" i="21"/>
  <c r="X37" i="21"/>
  <c r="Z37" i="21" s="1"/>
  <c r="L37" i="21"/>
  <c r="N37" i="21" s="1"/>
  <c r="B37" i="21"/>
  <c r="Z36" i="21"/>
  <c r="X36" i="21"/>
  <c r="N36" i="21"/>
  <c r="L36" i="21"/>
  <c r="B36" i="21"/>
  <c r="Z35" i="21"/>
  <c r="X35" i="21"/>
  <c r="N35" i="21"/>
  <c r="L35" i="21"/>
  <c r="B35" i="21"/>
  <c r="Z34" i="21"/>
  <c r="X34" i="21"/>
  <c r="N34" i="21"/>
  <c r="L34" i="21"/>
  <c r="J34" i="21"/>
  <c r="B34" i="21"/>
  <c r="X33" i="21"/>
  <c r="Z33" i="21" s="1"/>
  <c r="L33" i="21"/>
  <c r="N33" i="21" s="1"/>
  <c r="B33" i="21"/>
  <c r="Z32" i="21"/>
  <c r="X32" i="21"/>
  <c r="N32" i="21"/>
  <c r="L32" i="21"/>
  <c r="B32" i="21"/>
  <c r="X31" i="21"/>
  <c r="Z31" i="21" s="1"/>
  <c r="N31" i="21"/>
  <c r="L31" i="21"/>
  <c r="B31" i="21"/>
  <c r="Z30" i="21"/>
  <c r="X30" i="21"/>
  <c r="V30" i="21"/>
  <c r="N30" i="21"/>
  <c r="L30" i="21"/>
  <c r="B30" i="21"/>
  <c r="X29" i="21"/>
  <c r="Z29" i="21" s="1"/>
  <c r="L29" i="21"/>
  <c r="N29" i="21" s="1"/>
  <c r="B29" i="21"/>
  <c r="Z28" i="21"/>
  <c r="X28" i="21"/>
  <c r="T28" i="21"/>
  <c r="P28" i="21"/>
  <c r="H28" i="21"/>
  <c r="L28" i="21" s="1"/>
  <c r="N28" i="21" s="1"/>
  <c r="D28" i="21"/>
  <c r="B28" i="21"/>
  <c r="T27" i="21" a="1"/>
  <c r="T27" i="21" s="1"/>
  <c r="P27" i="21" a="1"/>
  <c r="P27" i="21"/>
  <c r="H27" i="21" a="1"/>
  <c r="H27" i="21" s="1"/>
  <c r="D27" i="21" a="1"/>
  <c r="D27" i="21"/>
  <c r="L27" i="21" s="1"/>
  <c r="T25" i="21"/>
  <c r="Z23" i="21"/>
  <c r="X23" i="21"/>
  <c r="N23" i="21"/>
  <c r="L23" i="21"/>
  <c r="B23" i="21"/>
  <c r="Z22" i="21"/>
  <c r="X22" i="21"/>
  <c r="N22" i="21"/>
  <c r="L22" i="21"/>
  <c r="J22" i="21"/>
  <c r="B22" i="21"/>
  <c r="X21" i="21"/>
  <c r="Z21" i="21" s="1"/>
  <c r="L21" i="21"/>
  <c r="N21" i="21" s="1"/>
  <c r="B21" i="21"/>
  <c r="T20" i="21"/>
  <c r="P20" i="21"/>
  <c r="X20" i="21" s="1"/>
  <c r="Z20" i="21" s="1"/>
  <c r="J20" i="21"/>
  <c r="H20" i="21"/>
  <c r="D20" i="21"/>
  <c r="L20" i="21" s="1"/>
  <c r="Z18" i="21"/>
  <c r="X18" i="21"/>
  <c r="P18" i="21"/>
  <c r="N18" i="21"/>
  <c r="L18" i="21"/>
  <c r="D18" i="21"/>
  <c r="B18" i="21"/>
  <c r="Z17" i="21"/>
  <c r="X17" i="21"/>
  <c r="P17" i="21"/>
  <c r="N17" i="21"/>
  <c r="D17" i="21"/>
  <c r="L17" i="21" s="1"/>
  <c r="B17" i="21"/>
  <c r="P16" i="21"/>
  <c r="X16" i="21" s="1"/>
  <c r="Z16" i="21" s="1"/>
  <c r="D16" i="21"/>
  <c r="L16" i="21" s="1"/>
  <c r="N16" i="21" s="1"/>
  <c r="B16" i="21"/>
  <c r="Z15" i="21"/>
  <c r="X15" i="21"/>
  <c r="P15" i="21"/>
  <c r="N15" i="21"/>
  <c r="L15" i="21"/>
  <c r="D15" i="21"/>
  <c r="B15" i="21"/>
  <c r="Z14" i="21"/>
  <c r="P14" i="21"/>
  <c r="X14" i="21" s="1"/>
  <c r="N14" i="21"/>
  <c r="L14" i="21"/>
  <c r="D14" i="21"/>
  <c r="B14" i="21"/>
  <c r="X13" i="21"/>
  <c r="Z13" i="21" s="1"/>
  <c r="P13" i="21"/>
  <c r="D13" i="21"/>
  <c r="B13" i="21"/>
  <c r="T12" i="21"/>
  <c r="H12" i="21"/>
  <c r="J92" i="21" s="1"/>
  <c r="D4" i="21"/>
  <c r="B39" i="20"/>
  <c r="B38" i="20"/>
  <c r="T34" i="20"/>
  <c r="Z34" i="20" s="1"/>
  <c r="P34" i="20"/>
  <c r="H34" i="20"/>
  <c r="N34" i="20" s="1"/>
  <c r="D34" i="20"/>
  <c r="T33" i="20"/>
  <c r="P33" i="20"/>
  <c r="H33" i="20"/>
  <c r="N33" i="20" s="1"/>
  <c r="D33" i="20"/>
  <c r="T29" i="20"/>
  <c r="P29" i="20"/>
  <c r="H29" i="20"/>
  <c r="N29" i="20" s="1"/>
  <c r="D29" i="20"/>
  <c r="T25" i="20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D20" i="20"/>
  <c r="T16" i="20"/>
  <c r="Z16" i="20" s="1"/>
  <c r="P16" i="20"/>
  <c r="H16" i="20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22" i="20" s="1"/>
  <c r="P12" i="20"/>
  <c r="R22" i="20" s="1"/>
  <c r="H12" i="20"/>
  <c r="J18" i="20" s="1"/>
  <c r="D12" i="20"/>
  <c r="F20" i="20" s="1"/>
  <c r="D5" i="20"/>
  <c r="D4" i="20"/>
  <c r="B39" i="19"/>
  <c r="B38" i="19"/>
  <c r="T34" i="19"/>
  <c r="Z34" i="19" s="1"/>
  <c r="P34" i="19"/>
  <c r="H34" i="19"/>
  <c r="N34" i="19" s="1"/>
  <c r="D34" i="19"/>
  <c r="T33" i="19"/>
  <c r="P33" i="19"/>
  <c r="H33" i="19"/>
  <c r="N33" i="19" s="1"/>
  <c r="D33" i="19"/>
  <c r="T29" i="19"/>
  <c r="P29" i="19"/>
  <c r="H29" i="19"/>
  <c r="N29" i="19" s="1"/>
  <c r="D29" i="19"/>
  <c r="T25" i="19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P15" i="19"/>
  <c r="H15" i="19"/>
  <c r="N15" i="19" s="1"/>
  <c r="D15" i="19"/>
  <c r="T13" i="19"/>
  <c r="P13" i="19"/>
  <c r="H13" i="19"/>
  <c r="N13" i="19" s="1"/>
  <c r="D13" i="19"/>
  <c r="B13" i="19"/>
  <c r="T12" i="19"/>
  <c r="V24" i="19" s="1"/>
  <c r="P12" i="19"/>
  <c r="H12" i="19"/>
  <c r="J20" i="19" s="1"/>
  <c r="D12" i="19"/>
  <c r="F24" i="19" s="1"/>
  <c r="D5" i="19"/>
  <c r="D4" i="19"/>
  <c r="X161" i="18"/>
  <c r="Z161" i="18" s="1"/>
  <c r="N161" i="18"/>
  <c r="L161" i="18"/>
  <c r="Z157" i="18"/>
  <c r="X157" i="18"/>
  <c r="P157" i="18"/>
  <c r="N157" i="18"/>
  <c r="L157" i="18"/>
  <c r="D157" i="18"/>
  <c r="B157" i="18"/>
  <c r="P156" i="18"/>
  <c r="X156" i="18" s="1"/>
  <c r="Z156" i="18" s="1"/>
  <c r="N156" i="18"/>
  <c r="L156" i="18"/>
  <c r="D156" i="18"/>
  <c r="B156" i="18"/>
  <c r="Z155" i="18"/>
  <c r="X155" i="18"/>
  <c r="P155" i="18"/>
  <c r="N155" i="18"/>
  <c r="D155" i="18"/>
  <c r="L155" i="18" s="1"/>
  <c r="B155" i="18"/>
  <c r="P154" i="18"/>
  <c r="X154" i="18" s="1"/>
  <c r="Z154" i="18" s="1"/>
  <c r="L154" i="18"/>
  <c r="N154" i="18" s="1"/>
  <c r="D154" i="18"/>
  <c r="B154" i="18"/>
  <c r="P153" i="18"/>
  <c r="X153" i="18" s="1"/>
  <c r="Z153" i="18" s="1"/>
  <c r="D153" i="18"/>
  <c r="L153" i="18" s="1"/>
  <c r="N153" i="18" s="1"/>
  <c r="B153" i="18"/>
  <c r="Z152" i="18"/>
  <c r="P152" i="18"/>
  <c r="X152" i="18" s="1"/>
  <c r="N152" i="18"/>
  <c r="L152" i="18"/>
  <c r="D152" i="18"/>
  <c r="B152" i="18"/>
  <c r="Z151" i="18"/>
  <c r="X151" i="18"/>
  <c r="P151" i="18"/>
  <c r="N151" i="18"/>
  <c r="D151" i="18"/>
  <c r="L151" i="18" s="1"/>
  <c r="B151" i="18"/>
  <c r="T150" i="18"/>
  <c r="H150" i="18"/>
  <c r="D150" i="18"/>
  <c r="L150" i="18" s="1"/>
  <c r="N150" i="18" s="1"/>
  <c r="X148" i="18"/>
  <c r="Z148" i="18" s="1"/>
  <c r="N148" i="18"/>
  <c r="L148" i="18"/>
  <c r="B148" i="18"/>
  <c r="X147" i="18"/>
  <c r="T147" i="18"/>
  <c r="P147" i="18"/>
  <c r="H147" i="18"/>
  <c r="D147" i="18"/>
  <c r="L147" i="18" s="1"/>
  <c r="N147" i="18" s="1"/>
  <c r="B147" i="18"/>
  <c r="X146" i="18"/>
  <c r="Z146" i="18" s="1"/>
  <c r="N146" i="18"/>
  <c r="L146" i="18"/>
  <c r="B146" i="18"/>
  <c r="Z145" i="18"/>
  <c r="X145" i="18"/>
  <c r="L145" i="18"/>
  <c r="N145" i="18" s="1"/>
  <c r="B145" i="18"/>
  <c r="X144" i="18"/>
  <c r="Z144" i="18" s="1"/>
  <c r="N144" i="18"/>
  <c r="L144" i="18"/>
  <c r="B144" i="18"/>
  <c r="T143" i="18"/>
  <c r="P143" i="18"/>
  <c r="X143" i="18" s="1"/>
  <c r="N143" i="18"/>
  <c r="H143" i="18"/>
  <c r="D143" i="18"/>
  <c r="L143" i="18" s="1"/>
  <c r="B143" i="18"/>
  <c r="Z142" i="18"/>
  <c r="X142" i="18"/>
  <c r="N142" i="18"/>
  <c r="L142" i="18"/>
  <c r="B142" i="18"/>
  <c r="T141" i="18"/>
  <c r="P141" i="18"/>
  <c r="N141" i="18"/>
  <c r="H141" i="18"/>
  <c r="D141" i="18"/>
  <c r="L141" i="18" s="1"/>
  <c r="B141" i="18"/>
  <c r="Z140" i="18"/>
  <c r="X140" i="18"/>
  <c r="L140" i="18"/>
  <c r="N140" i="18" s="1"/>
  <c r="J140" i="18"/>
  <c r="B140" i="18"/>
  <c r="Z139" i="18"/>
  <c r="X139" i="18"/>
  <c r="N139" i="18"/>
  <c r="L139" i="18"/>
  <c r="B139" i="18"/>
  <c r="X138" i="18"/>
  <c r="Z138" i="18" s="1"/>
  <c r="T138" i="18"/>
  <c r="P138" i="18"/>
  <c r="H138" i="18"/>
  <c r="D138" i="18"/>
  <c r="B138" i="18"/>
  <c r="X137" i="18"/>
  <c r="Z137" i="18" s="1"/>
  <c r="N137" i="18"/>
  <c r="L137" i="18"/>
  <c r="B137" i="18"/>
  <c r="Z136" i="18"/>
  <c r="X136" i="18"/>
  <c r="L136" i="18"/>
  <c r="N136" i="18" s="1"/>
  <c r="B136" i="18"/>
  <c r="X135" i="18"/>
  <c r="Z135" i="18" s="1"/>
  <c r="L135" i="18"/>
  <c r="N135" i="18" s="1"/>
  <c r="B135" i="18"/>
  <c r="X134" i="18"/>
  <c r="Z134" i="18" s="1"/>
  <c r="N134" i="18"/>
  <c r="L134" i="18"/>
  <c r="B134" i="18"/>
  <c r="Z133" i="18"/>
  <c r="X133" i="18"/>
  <c r="L133" i="18"/>
  <c r="N133" i="18" s="1"/>
  <c r="B133" i="18"/>
  <c r="X132" i="18"/>
  <c r="Z132" i="18" s="1"/>
  <c r="N132" i="18"/>
  <c r="L132" i="18"/>
  <c r="B132" i="18"/>
  <c r="X131" i="18"/>
  <c r="Z131" i="18" s="1"/>
  <c r="L131" i="18"/>
  <c r="N131" i="18" s="1"/>
  <c r="B131" i="18"/>
  <c r="T130" i="18"/>
  <c r="P130" i="18"/>
  <c r="X130" i="18" s="1"/>
  <c r="Z130" i="18" s="1"/>
  <c r="H130" i="18"/>
  <c r="N130" i="18" s="1"/>
  <c r="D130" i="18"/>
  <c r="L130" i="18" s="1"/>
  <c r="B130" i="18"/>
  <c r="Z129" i="18"/>
  <c r="X129" i="18"/>
  <c r="L129" i="18"/>
  <c r="N129" i="18" s="1"/>
  <c r="B129" i="18"/>
  <c r="X128" i="18"/>
  <c r="Z128" i="18" s="1"/>
  <c r="N128" i="18"/>
  <c r="L128" i="18"/>
  <c r="B128" i="18"/>
  <c r="T127" i="18"/>
  <c r="P127" i="18"/>
  <c r="X127" i="18" s="1"/>
  <c r="H127" i="18"/>
  <c r="D127" i="18"/>
  <c r="B127" i="18"/>
  <c r="Z126" i="18"/>
  <c r="X126" i="18"/>
  <c r="N126" i="18"/>
  <c r="L126" i="18"/>
  <c r="B126" i="18"/>
  <c r="Z125" i="18"/>
  <c r="X125" i="18"/>
  <c r="L125" i="18"/>
  <c r="N125" i="18" s="1"/>
  <c r="B125" i="18"/>
  <c r="X124" i="18"/>
  <c r="Z124" i="18" s="1"/>
  <c r="N124" i="18"/>
  <c r="L124" i="18"/>
  <c r="J124" i="18"/>
  <c r="B124" i="18"/>
  <c r="T123" i="18"/>
  <c r="P123" i="18"/>
  <c r="X123" i="18" s="1"/>
  <c r="H123" i="18"/>
  <c r="D123" i="18"/>
  <c r="L123" i="18" s="1"/>
  <c r="B123" i="18"/>
  <c r="X122" i="18"/>
  <c r="Z122" i="18" s="1"/>
  <c r="N122" i="18"/>
  <c r="L122" i="18"/>
  <c r="B122" i="18"/>
  <c r="Z121" i="18"/>
  <c r="X121" i="18"/>
  <c r="L121" i="18"/>
  <c r="N121" i="18" s="1"/>
  <c r="B121" i="18"/>
  <c r="X120" i="18"/>
  <c r="Z120" i="18" s="1"/>
  <c r="V120" i="18"/>
  <c r="N120" i="18"/>
  <c r="L120" i="18"/>
  <c r="B120" i="18"/>
  <c r="X119" i="18"/>
  <c r="Z119" i="18" s="1"/>
  <c r="L119" i="18"/>
  <c r="N119" i="18" s="1"/>
  <c r="B119" i="18"/>
  <c r="T118" i="18"/>
  <c r="P118" i="18"/>
  <c r="X118" i="18" s="1"/>
  <c r="Z118" i="18" s="1"/>
  <c r="H118" i="18"/>
  <c r="D118" i="18"/>
  <c r="L118" i="18" s="1"/>
  <c r="N118" i="18" s="1"/>
  <c r="B118" i="18"/>
  <c r="Z117" i="18"/>
  <c r="X117" i="18"/>
  <c r="L117" i="18"/>
  <c r="N117" i="18" s="1"/>
  <c r="B117" i="18"/>
  <c r="X116" i="18"/>
  <c r="Z116" i="18" s="1"/>
  <c r="N116" i="18"/>
  <c r="L116" i="18"/>
  <c r="B116" i="18"/>
  <c r="X115" i="18"/>
  <c r="Z115" i="18" s="1"/>
  <c r="L115" i="18"/>
  <c r="N115" i="18" s="1"/>
  <c r="B115" i="18"/>
  <c r="Z114" i="18"/>
  <c r="X114" i="18"/>
  <c r="N114" i="18"/>
  <c r="L114" i="18"/>
  <c r="B114" i="18"/>
  <c r="T113" i="18"/>
  <c r="P113" i="18"/>
  <c r="L113" i="18"/>
  <c r="H113" i="18"/>
  <c r="D113" i="18"/>
  <c r="B113" i="18"/>
  <c r="X112" i="18"/>
  <c r="Z112" i="18" s="1"/>
  <c r="N112" i="18"/>
  <c r="L112" i="18"/>
  <c r="B112" i="18"/>
  <c r="T111" i="18"/>
  <c r="P111" i="18"/>
  <c r="X111" i="18" s="1"/>
  <c r="H111" i="18"/>
  <c r="N111" i="18" s="1"/>
  <c r="D111" i="18"/>
  <c r="L111" i="18" s="1"/>
  <c r="B111" i="18"/>
  <c r="X110" i="18"/>
  <c r="Z110" i="18" s="1"/>
  <c r="N110" i="18"/>
  <c r="L110" i="18"/>
  <c r="J110" i="18"/>
  <c r="B110" i="18"/>
  <c r="T109" i="18"/>
  <c r="P109" i="18"/>
  <c r="N109" i="18"/>
  <c r="H109" i="18"/>
  <c r="D109" i="18"/>
  <c r="L109" i="18" s="1"/>
  <c r="B109" i="18"/>
  <c r="Z108" i="18"/>
  <c r="X108" i="18"/>
  <c r="L108" i="18"/>
  <c r="N108" i="18" s="1"/>
  <c r="B108" i="18"/>
  <c r="X107" i="18"/>
  <c r="Z107" i="18" s="1"/>
  <c r="T107" i="18"/>
  <c r="P107" i="18"/>
  <c r="H107" i="18"/>
  <c r="D107" i="18"/>
  <c r="B107" i="18"/>
  <c r="Z106" i="18"/>
  <c r="X106" i="18"/>
  <c r="L106" i="18"/>
  <c r="N106" i="18" s="1"/>
  <c r="B106" i="18"/>
  <c r="T105" i="18"/>
  <c r="P105" i="18"/>
  <c r="H105" i="18"/>
  <c r="D105" i="18"/>
  <c r="L105" i="18" s="1"/>
  <c r="B105" i="18"/>
  <c r="X104" i="18"/>
  <c r="Z104" i="18" s="1"/>
  <c r="N104" i="18"/>
  <c r="L104" i="18"/>
  <c r="B104" i="18"/>
  <c r="X103" i="18"/>
  <c r="Z103" i="18" s="1"/>
  <c r="N103" i="18"/>
  <c r="L103" i="18"/>
  <c r="B103" i="18"/>
  <c r="T102" i="18"/>
  <c r="P102" i="18"/>
  <c r="X102" i="18" s="1"/>
  <c r="Z102" i="18" s="1"/>
  <c r="H102" i="18"/>
  <c r="D102" i="18"/>
  <c r="L102" i="18" s="1"/>
  <c r="N102" i="18" s="1"/>
  <c r="B102" i="18"/>
  <c r="Z101" i="18"/>
  <c r="X101" i="18"/>
  <c r="L101" i="18"/>
  <c r="N101" i="18" s="1"/>
  <c r="B101" i="18"/>
  <c r="X100" i="18"/>
  <c r="Z100" i="18" s="1"/>
  <c r="N100" i="18"/>
  <c r="L100" i="18"/>
  <c r="B100" i="18"/>
  <c r="X99" i="18"/>
  <c r="T99" i="18"/>
  <c r="P99" i="18"/>
  <c r="H99" i="18"/>
  <c r="D99" i="18"/>
  <c r="B99" i="18"/>
  <c r="X98" i="18"/>
  <c r="Z98" i="18" s="1"/>
  <c r="N98" i="18"/>
  <c r="L98" i="18"/>
  <c r="B98" i="18"/>
  <c r="T97" i="18"/>
  <c r="P97" i="18"/>
  <c r="L97" i="18"/>
  <c r="N97" i="18" s="1"/>
  <c r="H97" i="18"/>
  <c r="D97" i="18"/>
  <c r="B97" i="18"/>
  <c r="Z96" i="18"/>
  <c r="X96" i="18"/>
  <c r="L96" i="18"/>
  <c r="N96" i="18" s="1"/>
  <c r="B96" i="18"/>
  <c r="X95" i="18"/>
  <c r="Z95" i="18" s="1"/>
  <c r="T95" i="18"/>
  <c r="P95" i="18"/>
  <c r="H95" i="18"/>
  <c r="D95" i="18"/>
  <c r="B95" i="18"/>
  <c r="Z94" i="18"/>
  <c r="X94" i="18"/>
  <c r="L94" i="18"/>
  <c r="N94" i="18" s="1"/>
  <c r="B94" i="18"/>
  <c r="X93" i="18"/>
  <c r="T93" i="18"/>
  <c r="P93" i="18"/>
  <c r="L93" i="18"/>
  <c r="H93" i="18"/>
  <c r="D93" i="18"/>
  <c r="B93" i="18"/>
  <c r="Z92" i="18"/>
  <c r="X92" i="18"/>
  <c r="N92" i="18"/>
  <c r="L92" i="18"/>
  <c r="B92" i="18"/>
  <c r="Z91" i="18"/>
  <c r="X91" i="18"/>
  <c r="N91" i="18"/>
  <c r="L91" i="18"/>
  <c r="B91" i="18"/>
  <c r="T90" i="18"/>
  <c r="Z90" i="18" s="1"/>
  <c r="P90" i="18"/>
  <c r="X90" i="18" s="1"/>
  <c r="N90" i="18"/>
  <c r="H90" i="18"/>
  <c r="D90" i="18"/>
  <c r="L90" i="18" s="1"/>
  <c r="B90" i="18"/>
  <c r="Z89" i="18"/>
  <c r="X89" i="18"/>
  <c r="L89" i="18"/>
  <c r="N89" i="18" s="1"/>
  <c r="B89" i="18"/>
  <c r="Z88" i="18"/>
  <c r="X88" i="18"/>
  <c r="N88" i="18"/>
  <c r="L88" i="18"/>
  <c r="B88" i="18"/>
  <c r="T87" i="18"/>
  <c r="P87" i="18"/>
  <c r="H87" i="18"/>
  <c r="D87" i="18"/>
  <c r="B87" i="18"/>
  <c r="X86" i="18"/>
  <c r="Z86" i="18" s="1"/>
  <c r="N86" i="18"/>
  <c r="L86" i="18"/>
  <c r="J86" i="18"/>
  <c r="B86" i="18"/>
  <c r="T85" i="18"/>
  <c r="P85" i="18"/>
  <c r="N85" i="18"/>
  <c r="L85" i="18"/>
  <c r="H85" i="18"/>
  <c r="D85" i="18"/>
  <c r="B85" i="18"/>
  <c r="Z84" i="18"/>
  <c r="X84" i="18"/>
  <c r="L84" i="18"/>
  <c r="N84" i="18" s="1"/>
  <c r="J84" i="18"/>
  <c r="B84" i="18"/>
  <c r="X83" i="18"/>
  <c r="Z83" i="18" s="1"/>
  <c r="T83" i="18"/>
  <c r="P83" i="18"/>
  <c r="L83" i="18"/>
  <c r="H83" i="18"/>
  <c r="D83" i="18"/>
  <c r="B83" i="18"/>
  <c r="Z82" i="18"/>
  <c r="X82" i="18"/>
  <c r="L82" i="18"/>
  <c r="N82" i="18" s="1"/>
  <c r="B82" i="18"/>
  <c r="T81" i="18"/>
  <c r="P81" i="18"/>
  <c r="H81" i="18"/>
  <c r="D81" i="18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N78" i="18"/>
  <c r="L78" i="18"/>
  <c r="B78" i="18"/>
  <c r="X77" i="18"/>
  <c r="Z77" i="18" s="1"/>
  <c r="N77" i="18"/>
  <c r="L77" i="18"/>
  <c r="B77" i="18"/>
  <c r="Z76" i="18"/>
  <c r="X76" i="18"/>
  <c r="N76" i="18"/>
  <c r="L76" i="18"/>
  <c r="B76" i="18"/>
  <c r="Z75" i="18"/>
  <c r="X75" i="18"/>
  <c r="N75" i="18"/>
  <c r="L75" i="18"/>
  <c r="B75" i="18"/>
  <c r="Z74" i="18"/>
  <c r="X74" i="18"/>
  <c r="N74" i="18"/>
  <c r="L74" i="18"/>
  <c r="B74" i="18"/>
  <c r="Z73" i="18"/>
  <c r="X73" i="18"/>
  <c r="N73" i="18"/>
  <c r="L73" i="18"/>
  <c r="J73" i="18"/>
  <c r="B73" i="18"/>
  <c r="Z72" i="18"/>
  <c r="X72" i="18"/>
  <c r="N72" i="18"/>
  <c r="L72" i="18"/>
  <c r="B72" i="18"/>
  <c r="Z71" i="18"/>
  <c r="X71" i="18"/>
  <c r="L71" i="18"/>
  <c r="N71" i="18" s="1"/>
  <c r="B71" i="18"/>
  <c r="Z70" i="18"/>
  <c r="T70" i="18"/>
  <c r="P70" i="18"/>
  <c r="X70" i="18" s="1"/>
  <c r="N70" i="18"/>
  <c r="L70" i="18"/>
  <c r="H70" i="18"/>
  <c r="D70" i="18"/>
  <c r="B70" i="18"/>
  <c r="Z69" i="18"/>
  <c r="X69" i="18"/>
  <c r="L69" i="18"/>
  <c r="N69" i="18" s="1"/>
  <c r="B69" i="18"/>
  <c r="Z68" i="18"/>
  <c r="X68" i="18"/>
  <c r="L68" i="18"/>
  <c r="N68" i="18" s="1"/>
  <c r="B68" i="18"/>
  <c r="X67" i="18"/>
  <c r="Z67" i="18" s="1"/>
  <c r="L67" i="18"/>
  <c r="N67" i="18" s="1"/>
  <c r="B67" i="18"/>
  <c r="Z66" i="18"/>
  <c r="X66" i="18"/>
  <c r="N66" i="18"/>
  <c r="L66" i="18"/>
  <c r="B66" i="18"/>
  <c r="Z65" i="18"/>
  <c r="X65" i="18"/>
  <c r="N65" i="18"/>
  <c r="L65" i="18"/>
  <c r="B65" i="18"/>
  <c r="Z64" i="18"/>
  <c r="X64" i="18"/>
  <c r="V64" i="18"/>
  <c r="L64" i="18"/>
  <c r="N64" i="18" s="1"/>
  <c r="B64" i="18"/>
  <c r="Z63" i="18"/>
  <c r="X63" i="18"/>
  <c r="L63" i="18"/>
  <c r="N63" i="18" s="1"/>
  <c r="B63" i="18"/>
  <c r="Z62" i="18"/>
  <c r="X62" i="18"/>
  <c r="L62" i="18"/>
  <c r="N62" i="18" s="1"/>
  <c r="B62" i="18"/>
  <c r="Z61" i="18"/>
  <c r="X61" i="18"/>
  <c r="N61" i="18"/>
  <c r="L61" i="18"/>
  <c r="B61" i="18"/>
  <c r="X60" i="18"/>
  <c r="Z60" i="18" s="1"/>
  <c r="N60" i="18"/>
  <c r="L60" i="18"/>
  <c r="B60" i="18"/>
  <c r="T59" i="18"/>
  <c r="P59" i="18"/>
  <c r="X59" i="18" s="1"/>
  <c r="Z59" i="18" s="1"/>
  <c r="H59" i="18"/>
  <c r="D59" i="18"/>
  <c r="B59" i="18"/>
  <c r="Z58" i="18"/>
  <c r="T58" i="18" a="1"/>
  <c r="T58" i="18"/>
  <c r="P58" i="18" a="1"/>
  <c r="P58" i="18" s="1"/>
  <c r="X58" i="18" s="1"/>
  <c r="H58" i="18" a="1"/>
  <c r="H58" i="18" s="1"/>
  <c r="D58" i="18" a="1"/>
  <c r="D58" i="18"/>
  <c r="T56" i="18"/>
  <c r="Z54" i="18"/>
  <c r="X54" i="18"/>
  <c r="N54" i="18"/>
  <c r="L54" i="18"/>
  <c r="B54" i="18"/>
  <c r="Z53" i="18"/>
  <c r="X53" i="18"/>
  <c r="N53" i="18"/>
  <c r="L53" i="18"/>
  <c r="B53" i="18"/>
  <c r="Z52" i="18"/>
  <c r="X52" i="18"/>
  <c r="N52" i="18"/>
  <c r="L52" i="18"/>
  <c r="B52" i="18"/>
  <c r="Z51" i="18"/>
  <c r="X51" i="18"/>
  <c r="N51" i="18"/>
  <c r="L51" i="18"/>
  <c r="F51" i="18"/>
  <c r="B51" i="18"/>
  <c r="Z50" i="18"/>
  <c r="X50" i="18"/>
  <c r="N50" i="18"/>
  <c r="L50" i="18"/>
  <c r="B50" i="18"/>
  <c r="Z49" i="18"/>
  <c r="X49" i="18"/>
  <c r="N49" i="18"/>
  <c r="L49" i="18"/>
  <c r="J49" i="18"/>
  <c r="B49" i="18"/>
  <c r="Z48" i="18"/>
  <c r="X48" i="18"/>
  <c r="N48" i="18"/>
  <c r="L48" i="18"/>
  <c r="J48" i="18"/>
  <c r="B48" i="18"/>
  <c r="Z47" i="18"/>
  <c r="X47" i="18"/>
  <c r="N47" i="18"/>
  <c r="L47" i="18"/>
  <c r="J47" i="18"/>
  <c r="B47" i="18"/>
  <c r="Z46" i="18"/>
  <c r="X46" i="18"/>
  <c r="N46" i="18"/>
  <c r="L46" i="18"/>
  <c r="B46" i="18"/>
  <c r="Z45" i="18"/>
  <c r="X45" i="18"/>
  <c r="N45" i="18"/>
  <c r="L45" i="18"/>
  <c r="J45" i="18"/>
  <c r="B45" i="18"/>
  <c r="Z44" i="18"/>
  <c r="X44" i="18"/>
  <c r="N44" i="18"/>
  <c r="L44" i="18"/>
  <c r="J44" i="18"/>
  <c r="B44" i="18"/>
  <c r="Z43" i="18"/>
  <c r="X43" i="18"/>
  <c r="V43" i="18"/>
  <c r="N43" i="18"/>
  <c r="L43" i="18"/>
  <c r="J43" i="18"/>
  <c r="B43" i="18"/>
  <c r="Z42" i="18"/>
  <c r="X42" i="18"/>
  <c r="N42" i="18"/>
  <c r="L42" i="18"/>
  <c r="J42" i="18"/>
  <c r="B42" i="18"/>
  <c r="Z41" i="18"/>
  <c r="X41" i="18"/>
  <c r="N41" i="18"/>
  <c r="L41" i="18"/>
  <c r="B41" i="18"/>
  <c r="Z40" i="18"/>
  <c r="X40" i="18"/>
  <c r="N40" i="18"/>
  <c r="L40" i="18"/>
  <c r="B40" i="18"/>
  <c r="Z39" i="18"/>
  <c r="X39" i="18"/>
  <c r="N39" i="18"/>
  <c r="L39" i="18"/>
  <c r="J39" i="18"/>
  <c r="B39" i="18"/>
  <c r="Z38" i="18"/>
  <c r="X38" i="18"/>
  <c r="N38" i="18"/>
  <c r="L38" i="18"/>
  <c r="J38" i="18"/>
  <c r="B38" i="18"/>
  <c r="Z37" i="18"/>
  <c r="X37" i="18"/>
  <c r="N37" i="18"/>
  <c r="L37" i="18"/>
  <c r="J37" i="18"/>
  <c r="B37" i="18"/>
  <c r="Z36" i="18"/>
  <c r="X36" i="18"/>
  <c r="N36" i="18"/>
  <c r="L36" i="18"/>
  <c r="J36" i="18"/>
  <c r="B36" i="18"/>
  <c r="Z35" i="18"/>
  <c r="X35" i="18"/>
  <c r="V35" i="18"/>
  <c r="N35" i="18"/>
  <c r="L35" i="18"/>
  <c r="J35" i="18"/>
  <c r="B35" i="18"/>
  <c r="Z34" i="18"/>
  <c r="X34" i="18"/>
  <c r="N34" i="18"/>
  <c r="L34" i="18"/>
  <c r="J34" i="18"/>
  <c r="B34" i="18"/>
  <c r="Z33" i="18"/>
  <c r="X33" i="18"/>
  <c r="N33" i="18"/>
  <c r="L33" i="18"/>
  <c r="B33" i="18"/>
  <c r="Z32" i="18"/>
  <c r="X32" i="18"/>
  <c r="N32" i="18"/>
  <c r="L32" i="18"/>
  <c r="B32" i="18"/>
  <c r="Z31" i="18"/>
  <c r="X31" i="18"/>
  <c r="N31" i="18"/>
  <c r="L31" i="18"/>
  <c r="J31" i="18"/>
  <c r="B31" i="18"/>
  <c r="Z30" i="18"/>
  <c r="X30" i="18"/>
  <c r="N30" i="18"/>
  <c r="L30" i="18"/>
  <c r="J30" i="18"/>
  <c r="B30" i="18"/>
  <c r="Z29" i="18"/>
  <c r="X29" i="18"/>
  <c r="N29" i="18"/>
  <c r="L29" i="18"/>
  <c r="J29" i="18"/>
  <c r="B29" i="18"/>
  <c r="Z28" i="18"/>
  <c r="X28" i="18"/>
  <c r="N28" i="18"/>
  <c r="L28" i="18"/>
  <c r="J28" i="18"/>
  <c r="B28" i="18"/>
  <c r="Z27" i="18"/>
  <c r="X27" i="18"/>
  <c r="V27" i="18"/>
  <c r="N27" i="18"/>
  <c r="L27" i="18"/>
  <c r="J27" i="18"/>
  <c r="B27" i="18"/>
  <c r="Z26" i="18"/>
  <c r="X26" i="18"/>
  <c r="N26" i="18"/>
  <c r="L26" i="18"/>
  <c r="J26" i="18"/>
  <c r="B26" i="18"/>
  <c r="Z25" i="18"/>
  <c r="X25" i="18"/>
  <c r="N25" i="18"/>
  <c r="L25" i="18"/>
  <c r="B25" i="18"/>
  <c r="Z24" i="18"/>
  <c r="X24" i="18"/>
  <c r="N24" i="18"/>
  <c r="L24" i="18"/>
  <c r="B24" i="18"/>
  <c r="Z23" i="18"/>
  <c r="X23" i="18"/>
  <c r="N23" i="18"/>
  <c r="L23" i="18"/>
  <c r="J23" i="18"/>
  <c r="B23" i="18"/>
  <c r="Z22" i="18"/>
  <c r="X22" i="18"/>
  <c r="L22" i="18"/>
  <c r="N22" i="18" s="1"/>
  <c r="J22" i="18"/>
  <c r="B22" i="18"/>
  <c r="T21" i="18"/>
  <c r="P21" i="18"/>
  <c r="X21" i="18" s="1"/>
  <c r="Z21" i="18" s="1"/>
  <c r="H21" i="18"/>
  <c r="D21" i="18"/>
  <c r="Z19" i="18"/>
  <c r="X19" i="18"/>
  <c r="P19" i="18"/>
  <c r="N19" i="18"/>
  <c r="D19" i="18"/>
  <c r="L19" i="18" s="1"/>
  <c r="B19" i="18"/>
  <c r="Z18" i="18"/>
  <c r="X18" i="18"/>
  <c r="P18" i="18"/>
  <c r="N18" i="18"/>
  <c r="L18" i="18"/>
  <c r="D18" i="18"/>
  <c r="B18" i="18"/>
  <c r="Z17" i="18"/>
  <c r="P17" i="18"/>
  <c r="X17" i="18" s="1"/>
  <c r="N17" i="18"/>
  <c r="D17" i="18"/>
  <c r="L17" i="18" s="1"/>
  <c r="B17" i="18"/>
  <c r="Z16" i="18"/>
  <c r="P16" i="18"/>
  <c r="X16" i="18" s="1"/>
  <c r="N16" i="18"/>
  <c r="L16" i="18"/>
  <c r="D16" i="18"/>
  <c r="B16" i="18"/>
  <c r="Z15" i="18"/>
  <c r="X15" i="18"/>
  <c r="P15" i="18"/>
  <c r="N15" i="18"/>
  <c r="L15" i="18"/>
  <c r="D15" i="18"/>
  <c r="B15" i="18"/>
  <c r="P14" i="18"/>
  <c r="X14" i="18" s="1"/>
  <c r="Z14" i="18" s="1"/>
  <c r="D14" i="18"/>
  <c r="L14" i="18" s="1"/>
  <c r="N14" i="18" s="1"/>
  <c r="B14" i="18"/>
  <c r="X13" i="18"/>
  <c r="Z13" i="18" s="1"/>
  <c r="P13" i="18"/>
  <c r="D13" i="18"/>
  <c r="L13" i="18" s="1"/>
  <c r="N13" i="18" s="1"/>
  <c r="B13" i="18"/>
  <c r="T12" i="18"/>
  <c r="V154" i="18" s="1"/>
  <c r="H12" i="18"/>
  <c r="J150" i="18" s="1"/>
  <c r="D12" i="18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34" i="17" s="1"/>
  <c r="P12" i="17"/>
  <c r="R33" i="17" s="1"/>
  <c r="H12" i="17"/>
  <c r="J20" i="17" s="1"/>
  <c r="D12" i="17"/>
  <c r="D5" i="17"/>
  <c r="D4" i="17"/>
  <c r="B39" i="16"/>
  <c r="B38" i="16"/>
  <c r="T34" i="16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D21" i="16"/>
  <c r="B21" i="16"/>
  <c r="T20" i="16"/>
  <c r="Z20" i="16" s="1"/>
  <c r="P20" i="16"/>
  <c r="H20" i="16"/>
  <c r="N20" i="16" s="1"/>
  <c r="D20" i="16"/>
  <c r="T16" i="16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0" i="16" s="1"/>
  <c r="P12" i="16"/>
  <c r="R22" i="16" s="1"/>
  <c r="H12" i="16"/>
  <c r="J20" i="16" s="1"/>
  <c r="D12" i="16"/>
  <c r="F20" i="16" s="1"/>
  <c r="D5" i="16"/>
  <c r="D4" i="16"/>
  <c r="X153" i="15"/>
  <c r="Z153" i="15" s="1"/>
  <c r="N153" i="15"/>
  <c r="L153" i="15"/>
  <c r="Z149" i="15"/>
  <c r="X149" i="15"/>
  <c r="P149" i="15"/>
  <c r="N149" i="15"/>
  <c r="D149" i="15"/>
  <c r="L149" i="15" s="1"/>
  <c r="B149" i="15"/>
  <c r="Z148" i="15"/>
  <c r="X148" i="15"/>
  <c r="P148" i="15"/>
  <c r="N148" i="15"/>
  <c r="L148" i="15"/>
  <c r="D148" i="15"/>
  <c r="B148" i="15"/>
  <c r="Z147" i="15"/>
  <c r="V147" i="15"/>
  <c r="P147" i="15"/>
  <c r="X147" i="15" s="1"/>
  <c r="N147" i="15"/>
  <c r="L147" i="15"/>
  <c r="D147" i="15"/>
  <c r="B147" i="15"/>
  <c r="P146" i="15"/>
  <c r="X146" i="15" s="1"/>
  <c r="Z146" i="15" s="1"/>
  <c r="J146" i="15"/>
  <c r="D146" i="15"/>
  <c r="L146" i="15" s="1"/>
  <c r="N146" i="15" s="1"/>
  <c r="B146" i="15"/>
  <c r="P145" i="15"/>
  <c r="D145" i="15"/>
  <c r="L145" i="15" s="1"/>
  <c r="N145" i="15" s="1"/>
  <c r="B145" i="15"/>
  <c r="T144" i="15"/>
  <c r="H144" i="15"/>
  <c r="Z142" i="15"/>
  <c r="X142" i="15"/>
  <c r="L142" i="15"/>
  <c r="N142" i="15" s="1"/>
  <c r="B142" i="15"/>
  <c r="T141" i="15"/>
  <c r="P141" i="15"/>
  <c r="X141" i="15" s="1"/>
  <c r="Z141" i="15" s="1"/>
  <c r="L141" i="15"/>
  <c r="H141" i="15"/>
  <c r="N141" i="15" s="1"/>
  <c r="D141" i="15"/>
  <c r="B141" i="15"/>
  <c r="Z140" i="15"/>
  <c r="X140" i="15"/>
  <c r="N140" i="15"/>
  <c r="L140" i="15"/>
  <c r="B140" i="15"/>
  <c r="X139" i="15"/>
  <c r="Z139" i="15" s="1"/>
  <c r="L139" i="15"/>
  <c r="N139" i="15" s="1"/>
  <c r="J139" i="15"/>
  <c r="B139" i="15"/>
  <c r="Z138" i="15"/>
  <c r="X138" i="15"/>
  <c r="L138" i="15"/>
  <c r="N138" i="15" s="1"/>
  <c r="B138" i="15"/>
  <c r="T137" i="15"/>
  <c r="P137" i="15"/>
  <c r="X137" i="15" s="1"/>
  <c r="Z137" i="15" s="1"/>
  <c r="L137" i="15"/>
  <c r="H137" i="15"/>
  <c r="N137" i="15" s="1"/>
  <c r="D137" i="15"/>
  <c r="B137" i="15"/>
  <c r="Z136" i="15"/>
  <c r="X136" i="15"/>
  <c r="N136" i="15"/>
  <c r="L136" i="15"/>
  <c r="B136" i="15"/>
  <c r="X135" i="15"/>
  <c r="T135" i="15"/>
  <c r="Z135" i="15" s="1"/>
  <c r="P135" i="15"/>
  <c r="N135" i="15"/>
  <c r="L135" i="15"/>
  <c r="H135" i="15"/>
  <c r="D135" i="15"/>
  <c r="B135" i="15"/>
  <c r="X134" i="15"/>
  <c r="Z134" i="15" s="1"/>
  <c r="N134" i="15"/>
  <c r="L134" i="15"/>
  <c r="B134" i="15"/>
  <c r="Z133" i="15"/>
  <c r="X133" i="15"/>
  <c r="N133" i="15"/>
  <c r="L133" i="15"/>
  <c r="B133" i="15"/>
  <c r="T132" i="15"/>
  <c r="X132" i="15" s="1"/>
  <c r="Z132" i="15" s="1"/>
  <c r="P132" i="15"/>
  <c r="L132" i="15"/>
  <c r="H132" i="15"/>
  <c r="D132" i="15"/>
  <c r="B132" i="15"/>
  <c r="X131" i="15"/>
  <c r="Z131" i="15" s="1"/>
  <c r="V131" i="15"/>
  <c r="L131" i="15"/>
  <c r="N131" i="15" s="1"/>
  <c r="B131" i="15"/>
  <c r="X130" i="15"/>
  <c r="Z130" i="15" s="1"/>
  <c r="N130" i="15"/>
  <c r="L130" i="15"/>
  <c r="B130" i="15"/>
  <c r="Z129" i="15"/>
  <c r="X129" i="15"/>
  <c r="L129" i="15"/>
  <c r="N129" i="15" s="1"/>
  <c r="B129" i="15"/>
  <c r="Z128" i="15"/>
  <c r="X128" i="15"/>
  <c r="N128" i="15"/>
  <c r="L128" i="15"/>
  <c r="B128" i="15"/>
  <c r="X127" i="15"/>
  <c r="Z127" i="15" s="1"/>
  <c r="L127" i="15"/>
  <c r="N127" i="15" s="1"/>
  <c r="J127" i="15"/>
  <c r="B127" i="15"/>
  <c r="Z126" i="15"/>
  <c r="X126" i="15"/>
  <c r="L126" i="15"/>
  <c r="N126" i="15" s="1"/>
  <c r="B126" i="15"/>
  <c r="X125" i="15"/>
  <c r="Z125" i="15" s="1"/>
  <c r="N125" i="15"/>
  <c r="L125" i="15"/>
  <c r="B125" i="15"/>
  <c r="T124" i="15"/>
  <c r="P124" i="15"/>
  <c r="H124" i="15"/>
  <c r="D124" i="15"/>
  <c r="L124" i="15" s="1"/>
  <c r="N124" i="15" s="1"/>
  <c r="B124" i="15"/>
  <c r="X123" i="15"/>
  <c r="Z123" i="15" s="1"/>
  <c r="N123" i="15"/>
  <c r="L123" i="15"/>
  <c r="J123" i="15"/>
  <c r="B123" i="15"/>
  <c r="Z122" i="15"/>
  <c r="X122" i="15"/>
  <c r="L122" i="15"/>
  <c r="N122" i="15" s="1"/>
  <c r="B122" i="15"/>
  <c r="T121" i="15"/>
  <c r="P121" i="15"/>
  <c r="X121" i="15" s="1"/>
  <c r="Z121" i="15" s="1"/>
  <c r="L121" i="15"/>
  <c r="H121" i="15"/>
  <c r="N121" i="15" s="1"/>
  <c r="D121" i="15"/>
  <c r="B121" i="15"/>
  <c r="Z120" i="15"/>
  <c r="X120" i="15"/>
  <c r="N120" i="15"/>
  <c r="L120" i="15"/>
  <c r="B120" i="15"/>
  <c r="X119" i="15"/>
  <c r="Z119" i="15" s="1"/>
  <c r="L119" i="15"/>
  <c r="N119" i="15" s="1"/>
  <c r="J119" i="15"/>
  <c r="B119" i="15"/>
  <c r="Z118" i="15"/>
  <c r="X118" i="15"/>
  <c r="L118" i="15"/>
  <c r="N118" i="15" s="1"/>
  <c r="B118" i="15"/>
  <c r="T117" i="15"/>
  <c r="P117" i="15"/>
  <c r="X117" i="15" s="1"/>
  <c r="Z117" i="15" s="1"/>
  <c r="L117" i="15"/>
  <c r="H117" i="15"/>
  <c r="N117" i="15" s="1"/>
  <c r="D117" i="15"/>
  <c r="B117" i="15"/>
  <c r="Z116" i="15"/>
  <c r="X116" i="15"/>
  <c r="N116" i="15"/>
  <c r="L116" i="15"/>
  <c r="B116" i="15"/>
  <c r="X115" i="15"/>
  <c r="Z115" i="15" s="1"/>
  <c r="L115" i="15"/>
  <c r="N115" i="15" s="1"/>
  <c r="J115" i="15"/>
  <c r="B115" i="15"/>
  <c r="Z114" i="15"/>
  <c r="X114" i="15"/>
  <c r="N114" i="15"/>
  <c r="L114" i="15"/>
  <c r="B114" i="15"/>
  <c r="X113" i="15"/>
  <c r="Z113" i="15" s="1"/>
  <c r="N113" i="15"/>
  <c r="L113" i="15"/>
  <c r="B113" i="15"/>
  <c r="T112" i="15"/>
  <c r="P112" i="15"/>
  <c r="X112" i="15" s="1"/>
  <c r="H112" i="15"/>
  <c r="D112" i="15"/>
  <c r="L112" i="15" s="1"/>
  <c r="N112" i="15" s="1"/>
  <c r="B112" i="15"/>
  <c r="X111" i="15"/>
  <c r="Z111" i="15" s="1"/>
  <c r="L111" i="15"/>
  <c r="N111" i="15" s="1"/>
  <c r="J111" i="15"/>
  <c r="B111" i="15"/>
  <c r="Z110" i="15"/>
  <c r="X110" i="15"/>
  <c r="L110" i="15"/>
  <c r="N110" i="15" s="1"/>
  <c r="B110" i="15"/>
  <c r="X109" i="15"/>
  <c r="Z109" i="15" s="1"/>
  <c r="N109" i="15"/>
  <c r="L109" i="15"/>
  <c r="B109" i="15"/>
  <c r="Z108" i="15"/>
  <c r="X108" i="15"/>
  <c r="N108" i="15"/>
  <c r="L108" i="15"/>
  <c r="B108" i="15"/>
  <c r="V107" i="15"/>
  <c r="T107" i="15"/>
  <c r="P107" i="15"/>
  <c r="X107" i="15" s="1"/>
  <c r="H107" i="15"/>
  <c r="D107" i="15"/>
  <c r="L107" i="15" s="1"/>
  <c r="N107" i="15" s="1"/>
  <c r="B107" i="15"/>
  <c r="Z106" i="15"/>
  <c r="X106" i="15"/>
  <c r="L106" i="15"/>
  <c r="N106" i="15" s="1"/>
  <c r="B106" i="15"/>
  <c r="T105" i="15"/>
  <c r="P105" i="15"/>
  <c r="X105" i="15" s="1"/>
  <c r="Z105" i="15" s="1"/>
  <c r="L105" i="15"/>
  <c r="H105" i="15"/>
  <c r="N105" i="15" s="1"/>
  <c r="D105" i="15"/>
  <c r="B105" i="15"/>
  <c r="Z104" i="15"/>
  <c r="X104" i="15"/>
  <c r="N104" i="15"/>
  <c r="L104" i="15"/>
  <c r="B104" i="15"/>
  <c r="X103" i="15"/>
  <c r="T103" i="15"/>
  <c r="Z103" i="15" s="1"/>
  <c r="P103" i="15"/>
  <c r="N103" i="15"/>
  <c r="L103" i="15"/>
  <c r="H103" i="15"/>
  <c r="D103" i="15"/>
  <c r="B103" i="15"/>
  <c r="X102" i="15"/>
  <c r="Z102" i="15" s="1"/>
  <c r="N102" i="15"/>
  <c r="L102" i="15"/>
  <c r="B102" i="15"/>
  <c r="Z101" i="15"/>
  <c r="X101" i="15"/>
  <c r="T101" i="15"/>
  <c r="P101" i="15"/>
  <c r="J101" i="15"/>
  <c r="H101" i="15"/>
  <c r="D101" i="15"/>
  <c r="L101" i="15" s="1"/>
  <c r="B101" i="15"/>
  <c r="Z100" i="15"/>
  <c r="X100" i="15"/>
  <c r="N100" i="15"/>
  <c r="L100" i="15"/>
  <c r="B100" i="15"/>
  <c r="V99" i="15"/>
  <c r="T99" i="15"/>
  <c r="P99" i="15"/>
  <c r="X99" i="15" s="1"/>
  <c r="H99" i="15"/>
  <c r="D99" i="15"/>
  <c r="L99" i="15" s="1"/>
  <c r="N99" i="15" s="1"/>
  <c r="B99" i="15"/>
  <c r="Z98" i="15"/>
  <c r="X98" i="15"/>
  <c r="L98" i="15"/>
  <c r="N98" i="15" s="1"/>
  <c r="B98" i="15"/>
  <c r="X97" i="15"/>
  <c r="Z97" i="15" s="1"/>
  <c r="N97" i="15"/>
  <c r="L97" i="15"/>
  <c r="B97" i="15"/>
  <c r="T96" i="15"/>
  <c r="P96" i="15"/>
  <c r="X96" i="15" s="1"/>
  <c r="H96" i="15"/>
  <c r="D96" i="15"/>
  <c r="L96" i="15" s="1"/>
  <c r="N96" i="15" s="1"/>
  <c r="B96" i="15"/>
  <c r="X95" i="15"/>
  <c r="Z95" i="15" s="1"/>
  <c r="L95" i="15"/>
  <c r="N95" i="15" s="1"/>
  <c r="J95" i="15"/>
  <c r="B95" i="15"/>
  <c r="Z94" i="15"/>
  <c r="X94" i="15"/>
  <c r="L94" i="15"/>
  <c r="N94" i="15" s="1"/>
  <c r="B94" i="15"/>
  <c r="T93" i="15"/>
  <c r="P93" i="15"/>
  <c r="X93" i="15" s="1"/>
  <c r="Z93" i="15" s="1"/>
  <c r="L93" i="15"/>
  <c r="H93" i="15"/>
  <c r="N93" i="15" s="1"/>
  <c r="D93" i="15"/>
  <c r="B93" i="15"/>
  <c r="Z92" i="15"/>
  <c r="X92" i="15"/>
  <c r="N92" i="15"/>
  <c r="L92" i="15"/>
  <c r="B92" i="15"/>
  <c r="X91" i="15"/>
  <c r="T91" i="15"/>
  <c r="Z91" i="15" s="1"/>
  <c r="P91" i="15"/>
  <c r="N91" i="15"/>
  <c r="L91" i="15"/>
  <c r="H91" i="15"/>
  <c r="D91" i="15"/>
  <c r="B91" i="15"/>
  <c r="X90" i="15"/>
  <c r="Z90" i="15" s="1"/>
  <c r="N90" i="15"/>
  <c r="L90" i="15"/>
  <c r="B90" i="15"/>
  <c r="Z89" i="15"/>
  <c r="X89" i="15"/>
  <c r="T89" i="15"/>
  <c r="P89" i="15"/>
  <c r="J89" i="15"/>
  <c r="H89" i="15"/>
  <c r="N89" i="15" s="1"/>
  <c r="D89" i="15"/>
  <c r="L89" i="15" s="1"/>
  <c r="B89" i="15"/>
  <c r="Z88" i="15"/>
  <c r="X88" i="15"/>
  <c r="N88" i="15"/>
  <c r="L88" i="15"/>
  <c r="B88" i="15"/>
  <c r="V87" i="15"/>
  <c r="T87" i="15"/>
  <c r="Z87" i="15" s="1"/>
  <c r="P87" i="15"/>
  <c r="X87" i="15" s="1"/>
  <c r="H87" i="15"/>
  <c r="D87" i="15"/>
  <c r="L87" i="15" s="1"/>
  <c r="N87" i="15" s="1"/>
  <c r="B87" i="15"/>
  <c r="Z86" i="15"/>
  <c r="X86" i="15"/>
  <c r="N86" i="15"/>
  <c r="L86" i="15"/>
  <c r="B86" i="15"/>
  <c r="Z85" i="15"/>
  <c r="X85" i="15"/>
  <c r="N85" i="15"/>
  <c r="L85" i="15"/>
  <c r="B85" i="15"/>
  <c r="T84" i="15"/>
  <c r="Z84" i="15" s="1"/>
  <c r="P84" i="15"/>
  <c r="N84" i="15"/>
  <c r="H84" i="15"/>
  <c r="D84" i="15"/>
  <c r="L84" i="15" s="1"/>
  <c r="B84" i="15"/>
  <c r="X83" i="15"/>
  <c r="Z83" i="15" s="1"/>
  <c r="L83" i="15"/>
  <c r="N83" i="15" s="1"/>
  <c r="J83" i="15"/>
  <c r="B83" i="15"/>
  <c r="Z82" i="15"/>
  <c r="X82" i="15"/>
  <c r="N82" i="15"/>
  <c r="L82" i="15"/>
  <c r="B82" i="15"/>
  <c r="T81" i="15"/>
  <c r="P81" i="15"/>
  <c r="X81" i="15" s="1"/>
  <c r="Z81" i="15" s="1"/>
  <c r="L81" i="15"/>
  <c r="H81" i="15"/>
  <c r="N81" i="15" s="1"/>
  <c r="D81" i="15"/>
  <c r="B81" i="15"/>
  <c r="Z80" i="15"/>
  <c r="X80" i="15"/>
  <c r="N80" i="15"/>
  <c r="L80" i="15"/>
  <c r="B80" i="15"/>
  <c r="X79" i="15"/>
  <c r="T79" i="15"/>
  <c r="Z79" i="15" s="1"/>
  <c r="P79" i="15"/>
  <c r="N79" i="15"/>
  <c r="L79" i="15"/>
  <c r="H79" i="15"/>
  <c r="D79" i="15"/>
  <c r="B79" i="15"/>
  <c r="X78" i="15"/>
  <c r="Z78" i="15" s="1"/>
  <c r="N78" i="15"/>
  <c r="L78" i="15"/>
  <c r="B78" i="15"/>
  <c r="Z77" i="15"/>
  <c r="X77" i="15"/>
  <c r="T77" i="15"/>
  <c r="P77" i="15"/>
  <c r="J77" i="15"/>
  <c r="H77" i="15"/>
  <c r="D77" i="15"/>
  <c r="L77" i="15" s="1"/>
  <c r="B77" i="15"/>
  <c r="Z76" i="15"/>
  <c r="X76" i="15"/>
  <c r="N76" i="15"/>
  <c r="L76" i="15"/>
  <c r="B76" i="15"/>
  <c r="V75" i="15"/>
  <c r="T75" i="15"/>
  <c r="P75" i="15"/>
  <c r="X75" i="15" s="1"/>
  <c r="H75" i="15"/>
  <c r="D75" i="15"/>
  <c r="L75" i="15" s="1"/>
  <c r="N75" i="15" s="1"/>
  <c r="B75" i="15"/>
  <c r="Z74" i="15"/>
  <c r="X74" i="15"/>
  <c r="N74" i="15"/>
  <c r="L74" i="15"/>
  <c r="B74" i="15"/>
  <c r="Z73" i="15"/>
  <c r="X73" i="15"/>
  <c r="N73" i="15"/>
  <c r="L73" i="15"/>
  <c r="B73" i="15"/>
  <c r="Z72" i="15"/>
  <c r="X72" i="15"/>
  <c r="N72" i="15"/>
  <c r="L72" i="15"/>
  <c r="B72" i="15"/>
  <c r="X71" i="15"/>
  <c r="Z71" i="15" s="1"/>
  <c r="V71" i="15"/>
  <c r="L71" i="15"/>
  <c r="N71" i="15" s="1"/>
  <c r="B71" i="15"/>
  <c r="Z70" i="15"/>
  <c r="X70" i="15"/>
  <c r="N70" i="15"/>
  <c r="L70" i="15"/>
  <c r="B70" i="15"/>
  <c r="Z69" i="15"/>
  <c r="X69" i="15"/>
  <c r="L69" i="15"/>
  <c r="N69" i="15" s="1"/>
  <c r="B69" i="15"/>
  <c r="Z68" i="15"/>
  <c r="X68" i="15"/>
  <c r="N68" i="15"/>
  <c r="L68" i="15"/>
  <c r="B68" i="15"/>
  <c r="Z67" i="15"/>
  <c r="X67" i="15"/>
  <c r="N67" i="15"/>
  <c r="L67" i="15"/>
  <c r="J67" i="15"/>
  <c r="B67" i="15"/>
  <c r="Z66" i="15"/>
  <c r="X66" i="15"/>
  <c r="L66" i="15"/>
  <c r="N66" i="15" s="1"/>
  <c r="B66" i="15"/>
  <c r="X65" i="15"/>
  <c r="Z65" i="15" s="1"/>
  <c r="N65" i="15"/>
  <c r="L65" i="15"/>
  <c r="B65" i="15"/>
  <c r="T64" i="15"/>
  <c r="P64" i="15"/>
  <c r="H64" i="15"/>
  <c r="D64" i="15"/>
  <c r="L64" i="15" s="1"/>
  <c r="N64" i="15" s="1"/>
  <c r="B64" i="15"/>
  <c r="X63" i="15"/>
  <c r="Z63" i="15" s="1"/>
  <c r="L63" i="15"/>
  <c r="N63" i="15" s="1"/>
  <c r="J63" i="15"/>
  <c r="B63" i="15"/>
  <c r="Z62" i="15"/>
  <c r="X62" i="15"/>
  <c r="L62" i="15"/>
  <c r="N62" i="15" s="1"/>
  <c r="B62" i="15"/>
  <c r="Z61" i="15"/>
  <c r="X61" i="15"/>
  <c r="N61" i="15"/>
  <c r="L61" i="15"/>
  <c r="B61" i="15"/>
  <c r="Z60" i="15"/>
  <c r="X60" i="15"/>
  <c r="N60" i="15"/>
  <c r="L60" i="15"/>
  <c r="B60" i="15"/>
  <c r="Z59" i="15"/>
  <c r="X59" i="15"/>
  <c r="V59" i="15"/>
  <c r="N59" i="15"/>
  <c r="L59" i="15"/>
  <c r="B59" i="15"/>
  <c r="X58" i="15"/>
  <c r="Z58" i="15" s="1"/>
  <c r="N58" i="15"/>
  <c r="L58" i="15"/>
  <c r="B58" i="15"/>
  <c r="Z57" i="15"/>
  <c r="X57" i="15"/>
  <c r="N57" i="15"/>
  <c r="L57" i="15"/>
  <c r="B57" i="15"/>
  <c r="Z56" i="15"/>
  <c r="X56" i="15"/>
  <c r="N56" i="15"/>
  <c r="L56" i="15"/>
  <c r="B56" i="15"/>
  <c r="X55" i="15"/>
  <c r="Z55" i="15" s="1"/>
  <c r="L55" i="15"/>
  <c r="N55" i="15" s="1"/>
  <c r="J55" i="15"/>
  <c r="B55" i="15"/>
  <c r="Z54" i="15"/>
  <c r="X54" i="15"/>
  <c r="L54" i="15"/>
  <c r="N54" i="15" s="1"/>
  <c r="B54" i="15"/>
  <c r="T53" i="15"/>
  <c r="P53" i="15"/>
  <c r="X53" i="15" s="1"/>
  <c r="Z53" i="15" s="1"/>
  <c r="L53" i="15"/>
  <c r="H53" i="15"/>
  <c r="N53" i="15" s="1"/>
  <c r="D53" i="15"/>
  <c r="B53" i="15"/>
  <c r="T52" i="15" a="1"/>
  <c r="T52" i="15" s="1"/>
  <c r="P52" i="15" a="1"/>
  <c r="P52" i="15"/>
  <c r="X52" i="15" s="1"/>
  <c r="H52" i="15" a="1"/>
  <c r="H52" i="15" s="1"/>
  <c r="D52" i="15" a="1"/>
  <c r="D52" i="15"/>
  <c r="L52" i="15" s="1"/>
  <c r="Z48" i="15"/>
  <c r="X48" i="15"/>
  <c r="N48" i="15"/>
  <c r="L48" i="15"/>
  <c r="B48" i="15"/>
  <c r="Z47" i="15"/>
  <c r="X47" i="15"/>
  <c r="V47" i="15"/>
  <c r="N47" i="15"/>
  <c r="L47" i="15"/>
  <c r="B47" i="15"/>
  <c r="Z46" i="15"/>
  <c r="X46" i="15"/>
  <c r="N46" i="15"/>
  <c r="L46" i="15"/>
  <c r="B46" i="15"/>
  <c r="Z45" i="15"/>
  <c r="X45" i="15"/>
  <c r="N45" i="15"/>
  <c r="L45" i="15"/>
  <c r="B45" i="15"/>
  <c r="Z44" i="15"/>
  <c r="X44" i="15"/>
  <c r="N44" i="15"/>
  <c r="L44" i="15"/>
  <c r="B44" i="15"/>
  <c r="Z43" i="15"/>
  <c r="X43" i="15"/>
  <c r="N43" i="15"/>
  <c r="L43" i="15"/>
  <c r="J43" i="15"/>
  <c r="B43" i="15"/>
  <c r="Z42" i="15"/>
  <c r="X42" i="15"/>
  <c r="N42" i="15"/>
  <c r="L42" i="15"/>
  <c r="B42" i="15"/>
  <c r="Z41" i="15"/>
  <c r="X41" i="15"/>
  <c r="N41" i="15"/>
  <c r="L41" i="15"/>
  <c r="B41" i="15"/>
  <c r="Z40" i="15"/>
  <c r="X40" i="15"/>
  <c r="N40" i="15"/>
  <c r="L40" i="15"/>
  <c r="B40" i="15"/>
  <c r="Z39" i="15"/>
  <c r="X39" i="15"/>
  <c r="V39" i="15"/>
  <c r="N39" i="15"/>
  <c r="L39" i="15"/>
  <c r="B39" i="15"/>
  <c r="Z38" i="15"/>
  <c r="X38" i="15"/>
  <c r="N38" i="15"/>
  <c r="L38" i="15"/>
  <c r="B38" i="15"/>
  <c r="Z37" i="15"/>
  <c r="X37" i="15"/>
  <c r="N37" i="15"/>
  <c r="L37" i="15"/>
  <c r="B37" i="15"/>
  <c r="Z36" i="15"/>
  <c r="X36" i="15"/>
  <c r="N36" i="15"/>
  <c r="L36" i="15"/>
  <c r="B36" i="15"/>
  <c r="Z35" i="15"/>
  <c r="X35" i="15"/>
  <c r="V35" i="15"/>
  <c r="N35" i="15"/>
  <c r="L35" i="15"/>
  <c r="J35" i="15"/>
  <c r="B35" i="15"/>
  <c r="Z34" i="15"/>
  <c r="X34" i="15"/>
  <c r="N34" i="15"/>
  <c r="L34" i="15"/>
  <c r="B34" i="15"/>
  <c r="Z33" i="15"/>
  <c r="X33" i="15"/>
  <c r="N33" i="15"/>
  <c r="L33" i="15"/>
  <c r="B33" i="15"/>
  <c r="Z32" i="15"/>
  <c r="X32" i="15"/>
  <c r="N32" i="15"/>
  <c r="L32" i="15"/>
  <c r="B32" i="15"/>
  <c r="Z31" i="15"/>
  <c r="X31" i="15"/>
  <c r="V31" i="15"/>
  <c r="N31" i="15"/>
  <c r="L31" i="15"/>
  <c r="B31" i="15"/>
  <c r="Z30" i="15"/>
  <c r="X30" i="15"/>
  <c r="V30" i="15"/>
  <c r="N30" i="15"/>
  <c r="L30" i="15"/>
  <c r="B30" i="15"/>
  <c r="Z29" i="15"/>
  <c r="X29" i="15"/>
  <c r="N29" i="15"/>
  <c r="L29" i="15"/>
  <c r="B29" i="15"/>
  <c r="Z28" i="15"/>
  <c r="X28" i="15"/>
  <c r="N28" i="15"/>
  <c r="L28" i="15"/>
  <c r="B28" i="15"/>
  <c r="Z27" i="15"/>
  <c r="X27" i="15"/>
  <c r="V27" i="15"/>
  <c r="N27" i="15"/>
  <c r="L27" i="15"/>
  <c r="J27" i="15"/>
  <c r="B27" i="15"/>
  <c r="Z26" i="15"/>
  <c r="X26" i="15"/>
  <c r="N26" i="15"/>
  <c r="L26" i="15"/>
  <c r="B26" i="15"/>
  <c r="Z25" i="15"/>
  <c r="X25" i="15"/>
  <c r="N25" i="15"/>
  <c r="L25" i="15"/>
  <c r="B25" i="15"/>
  <c r="Z24" i="15"/>
  <c r="X24" i="15"/>
  <c r="N24" i="15"/>
  <c r="L24" i="15"/>
  <c r="B24" i="15"/>
  <c r="Z23" i="15"/>
  <c r="X23" i="15"/>
  <c r="V23" i="15"/>
  <c r="N23" i="15"/>
  <c r="L23" i="15"/>
  <c r="J23" i="15"/>
  <c r="B23" i="15"/>
  <c r="X22" i="15"/>
  <c r="Z22" i="15" s="1"/>
  <c r="V22" i="15"/>
  <c r="L22" i="15"/>
  <c r="N22" i="15" s="1"/>
  <c r="B22" i="15"/>
  <c r="Z21" i="15"/>
  <c r="X21" i="15"/>
  <c r="T21" i="15"/>
  <c r="P21" i="15"/>
  <c r="J21" i="15"/>
  <c r="H21" i="15"/>
  <c r="N21" i="15" s="1"/>
  <c r="D21" i="15"/>
  <c r="L21" i="15" s="1"/>
  <c r="Z19" i="15"/>
  <c r="X19" i="15"/>
  <c r="P19" i="15"/>
  <c r="N19" i="15"/>
  <c r="L19" i="15"/>
  <c r="D19" i="15"/>
  <c r="B19" i="15"/>
  <c r="Z18" i="15"/>
  <c r="X18" i="15"/>
  <c r="P18" i="15"/>
  <c r="N18" i="15"/>
  <c r="D18" i="15"/>
  <c r="B18" i="15"/>
  <c r="Z17" i="15"/>
  <c r="P17" i="15"/>
  <c r="X17" i="15" s="1"/>
  <c r="N17" i="15"/>
  <c r="D17" i="15"/>
  <c r="L17" i="15" s="1"/>
  <c r="B17" i="15"/>
  <c r="Z16" i="15"/>
  <c r="P16" i="15"/>
  <c r="X16" i="15" s="1"/>
  <c r="N16" i="15"/>
  <c r="L16" i="15"/>
  <c r="D16" i="15"/>
  <c r="B16" i="15"/>
  <c r="Z15" i="15"/>
  <c r="X15" i="15"/>
  <c r="P15" i="15"/>
  <c r="N15" i="15"/>
  <c r="L15" i="15"/>
  <c r="D15" i="15"/>
  <c r="B15" i="15"/>
  <c r="X14" i="15"/>
  <c r="Z14" i="15" s="1"/>
  <c r="P14" i="15"/>
  <c r="D14" i="15"/>
  <c r="L14" i="15" s="1"/>
  <c r="N14" i="15" s="1"/>
  <c r="B14" i="15"/>
  <c r="P13" i="15"/>
  <c r="X13" i="15" s="1"/>
  <c r="Z13" i="15" s="1"/>
  <c r="D13" i="15"/>
  <c r="L13" i="15" s="1"/>
  <c r="N13" i="15" s="1"/>
  <c r="B13" i="15"/>
  <c r="T12" i="15"/>
  <c r="H12" i="15"/>
  <c r="J153" i="15" s="1"/>
  <c r="D4" i="15"/>
  <c r="B39" i="14"/>
  <c r="B38" i="14"/>
  <c r="T34" i="14"/>
  <c r="Z34" i="14" s="1"/>
  <c r="P34" i="14"/>
  <c r="H34" i="14"/>
  <c r="N34" i="14" s="1"/>
  <c r="D34" i="14"/>
  <c r="T33" i="14"/>
  <c r="Z33" i="14" s="1"/>
  <c r="P33" i="14"/>
  <c r="H33" i="14"/>
  <c r="N33" i="14" s="1"/>
  <c r="D33" i="14"/>
  <c r="T29" i="14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P22" i="14"/>
  <c r="H22" i="14"/>
  <c r="N22" i="14" s="1"/>
  <c r="D22" i="14"/>
  <c r="B22" i="14"/>
  <c r="T21" i="14"/>
  <c r="Z21" i="14" s="1"/>
  <c r="P21" i="14"/>
  <c r="H21" i="14"/>
  <c r="N21" i="14" s="1"/>
  <c r="D21" i="14"/>
  <c r="B21" i="14"/>
  <c r="T20" i="14"/>
  <c r="Z20" i="14" s="1"/>
  <c r="P20" i="14"/>
  <c r="H20" i="14"/>
  <c r="D20" i="14"/>
  <c r="T16" i="14"/>
  <c r="Z16" i="14" s="1"/>
  <c r="P16" i="14"/>
  <c r="H16" i="14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36" i="14" s="1"/>
  <c r="P12" i="14"/>
  <c r="R31" i="14" s="1"/>
  <c r="H12" i="14"/>
  <c r="J20" i="14" s="1"/>
  <c r="D12" i="14"/>
  <c r="F36" i="14" s="1"/>
  <c r="D5" i="14"/>
  <c r="D4" i="14"/>
  <c r="B39" i="13"/>
  <c r="B38" i="13"/>
  <c r="T34" i="13"/>
  <c r="Z34" i="13" s="1"/>
  <c r="P34" i="13"/>
  <c r="H34" i="13"/>
  <c r="N34" i="13" s="1"/>
  <c r="D34" i="13"/>
  <c r="T33" i="13"/>
  <c r="P33" i="13"/>
  <c r="H33" i="13"/>
  <c r="N33" i="13" s="1"/>
  <c r="D33" i="13"/>
  <c r="T29" i="13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4" i="13" s="1"/>
  <c r="P12" i="13"/>
  <c r="R24" i="13" s="1"/>
  <c r="H12" i="13"/>
  <c r="J22" i="13" s="1"/>
  <c r="D12" i="13"/>
  <c r="F18" i="13" s="1"/>
  <c r="D5" i="13"/>
  <c r="D4" i="13"/>
  <c r="Z162" i="12"/>
  <c r="X162" i="12"/>
  <c r="N162" i="12"/>
  <c r="L162" i="12"/>
  <c r="Z158" i="12"/>
  <c r="P158" i="12"/>
  <c r="X158" i="12" s="1"/>
  <c r="N158" i="12"/>
  <c r="D158" i="12"/>
  <c r="L158" i="12" s="1"/>
  <c r="B158" i="12"/>
  <c r="X157" i="12"/>
  <c r="Z157" i="12" s="1"/>
  <c r="P157" i="12"/>
  <c r="N157" i="12"/>
  <c r="D157" i="12"/>
  <c r="L157" i="12" s="1"/>
  <c r="B157" i="12"/>
  <c r="Z156" i="12"/>
  <c r="X156" i="12"/>
  <c r="P156" i="12"/>
  <c r="N156" i="12"/>
  <c r="L156" i="12"/>
  <c r="D156" i="12"/>
  <c r="B156" i="12"/>
  <c r="P155" i="12"/>
  <c r="X155" i="12" s="1"/>
  <c r="Z155" i="12" s="1"/>
  <c r="L155" i="12"/>
  <c r="N155" i="12" s="1"/>
  <c r="D155" i="12"/>
  <c r="B155" i="12"/>
  <c r="P154" i="12"/>
  <c r="X154" i="12" s="1"/>
  <c r="Z154" i="12" s="1"/>
  <c r="D154" i="12"/>
  <c r="L154" i="12" s="1"/>
  <c r="N154" i="12" s="1"/>
  <c r="B154" i="12"/>
  <c r="T153" i="12"/>
  <c r="H153" i="12"/>
  <c r="X151" i="12"/>
  <c r="Z151" i="12" s="1"/>
  <c r="L151" i="12"/>
  <c r="N151" i="12" s="1"/>
  <c r="B151" i="12"/>
  <c r="Z150" i="12"/>
  <c r="T150" i="12"/>
  <c r="X150" i="12" s="1"/>
  <c r="P150" i="12"/>
  <c r="H150" i="12"/>
  <c r="D150" i="12"/>
  <c r="L150" i="12" s="1"/>
  <c r="B150" i="12"/>
  <c r="Z149" i="12"/>
  <c r="X149" i="12"/>
  <c r="N149" i="12"/>
  <c r="L149" i="12"/>
  <c r="B149" i="12"/>
  <c r="X148" i="12"/>
  <c r="Z148" i="12" s="1"/>
  <c r="V148" i="12"/>
  <c r="L148" i="12"/>
  <c r="N148" i="12" s="1"/>
  <c r="B148" i="12"/>
  <c r="X147" i="12"/>
  <c r="Z147" i="12" s="1"/>
  <c r="L147" i="12"/>
  <c r="N147" i="12" s="1"/>
  <c r="B147" i="12"/>
  <c r="Z146" i="12"/>
  <c r="T146" i="12"/>
  <c r="P146" i="12"/>
  <c r="X146" i="12" s="1"/>
  <c r="H146" i="12"/>
  <c r="D146" i="12"/>
  <c r="L146" i="12" s="1"/>
  <c r="B146" i="12"/>
  <c r="Z145" i="12"/>
  <c r="X145" i="12"/>
  <c r="N145" i="12"/>
  <c r="L145" i="12"/>
  <c r="B145" i="12"/>
  <c r="T144" i="12"/>
  <c r="P144" i="12"/>
  <c r="X144" i="12" s="1"/>
  <c r="N144" i="12"/>
  <c r="H144" i="12"/>
  <c r="D144" i="12"/>
  <c r="L144" i="12" s="1"/>
  <c r="B144" i="12"/>
  <c r="X143" i="12"/>
  <c r="Z143" i="12" s="1"/>
  <c r="L143" i="12"/>
  <c r="N143" i="12" s="1"/>
  <c r="B143" i="12"/>
  <c r="Z142" i="12"/>
  <c r="X142" i="12"/>
  <c r="N142" i="12"/>
  <c r="L142" i="12"/>
  <c r="B142" i="12"/>
  <c r="T141" i="12"/>
  <c r="P141" i="12"/>
  <c r="L141" i="12"/>
  <c r="N141" i="12" s="1"/>
  <c r="H141" i="12"/>
  <c r="D141" i="12"/>
  <c r="B141" i="12"/>
  <c r="X140" i="12"/>
  <c r="Z140" i="12" s="1"/>
  <c r="L140" i="12"/>
  <c r="N140" i="12" s="1"/>
  <c r="J140" i="12"/>
  <c r="B140" i="12"/>
  <c r="Z139" i="12"/>
  <c r="X139" i="12"/>
  <c r="L139" i="12"/>
  <c r="N139" i="12" s="1"/>
  <c r="B139" i="12"/>
  <c r="Z138" i="12"/>
  <c r="X138" i="12"/>
  <c r="N138" i="12"/>
  <c r="L138" i="12"/>
  <c r="B138" i="12"/>
  <c r="Z137" i="12"/>
  <c r="X137" i="12"/>
  <c r="N137" i="12"/>
  <c r="L137" i="12"/>
  <c r="J137" i="12"/>
  <c r="B137" i="12"/>
  <c r="X136" i="12"/>
  <c r="Z136" i="12" s="1"/>
  <c r="L136" i="12"/>
  <c r="N136" i="12" s="1"/>
  <c r="B136" i="12"/>
  <c r="X135" i="12"/>
  <c r="Z135" i="12" s="1"/>
  <c r="L135" i="12"/>
  <c r="N135" i="12" s="1"/>
  <c r="B135" i="12"/>
  <c r="Z134" i="12"/>
  <c r="X134" i="12"/>
  <c r="N134" i="12"/>
  <c r="L134" i="12"/>
  <c r="B134" i="12"/>
  <c r="T133" i="12"/>
  <c r="Z133" i="12" s="1"/>
  <c r="P133" i="12"/>
  <c r="X133" i="12" s="1"/>
  <c r="L133" i="12"/>
  <c r="N133" i="12" s="1"/>
  <c r="H133" i="12"/>
  <c r="D133" i="12"/>
  <c r="B133" i="12"/>
  <c r="X132" i="12"/>
  <c r="Z132" i="12" s="1"/>
  <c r="L132" i="12"/>
  <c r="N132" i="12" s="1"/>
  <c r="J132" i="12"/>
  <c r="B132" i="12"/>
  <c r="X131" i="12"/>
  <c r="Z131" i="12" s="1"/>
  <c r="L131" i="12"/>
  <c r="N131" i="12" s="1"/>
  <c r="B131" i="12"/>
  <c r="Z130" i="12"/>
  <c r="T130" i="12"/>
  <c r="X130" i="12" s="1"/>
  <c r="P130" i="12"/>
  <c r="H130" i="12"/>
  <c r="D130" i="12"/>
  <c r="L130" i="12" s="1"/>
  <c r="B130" i="12"/>
  <c r="Z129" i="12"/>
  <c r="X129" i="12"/>
  <c r="N129" i="12"/>
  <c r="L129" i="12"/>
  <c r="B129" i="12"/>
  <c r="Z128" i="12"/>
  <c r="X128" i="12"/>
  <c r="N128" i="12"/>
  <c r="L128" i="12"/>
  <c r="J128" i="12"/>
  <c r="B128" i="12"/>
  <c r="X127" i="12"/>
  <c r="Z127" i="12" s="1"/>
  <c r="L127" i="12"/>
  <c r="N127" i="12" s="1"/>
  <c r="B127" i="12"/>
  <c r="Z126" i="12"/>
  <c r="X126" i="12"/>
  <c r="L126" i="12"/>
  <c r="N126" i="12" s="1"/>
  <c r="B126" i="12"/>
  <c r="V125" i="12"/>
  <c r="T125" i="12"/>
  <c r="P125" i="12"/>
  <c r="L125" i="12"/>
  <c r="N125" i="12" s="1"/>
  <c r="H125" i="12"/>
  <c r="D125" i="12"/>
  <c r="B125" i="12"/>
  <c r="X124" i="12"/>
  <c r="Z124" i="12" s="1"/>
  <c r="L124" i="12"/>
  <c r="N124" i="12" s="1"/>
  <c r="J124" i="12"/>
  <c r="B124" i="12"/>
  <c r="Z123" i="12"/>
  <c r="X123" i="12"/>
  <c r="L123" i="12"/>
  <c r="N123" i="12" s="1"/>
  <c r="J123" i="12"/>
  <c r="B123" i="12"/>
  <c r="Z122" i="12"/>
  <c r="X122" i="12"/>
  <c r="N122" i="12"/>
  <c r="L122" i="12"/>
  <c r="J122" i="12"/>
  <c r="B122" i="12"/>
  <c r="Z121" i="12"/>
  <c r="X121" i="12"/>
  <c r="L121" i="12"/>
  <c r="N121" i="12" s="1"/>
  <c r="J121" i="12"/>
  <c r="B121" i="12"/>
  <c r="T120" i="12"/>
  <c r="P120" i="12"/>
  <c r="X120" i="12" s="1"/>
  <c r="H120" i="12"/>
  <c r="L120" i="12" s="1"/>
  <c r="N120" i="12" s="1"/>
  <c r="D120" i="12"/>
  <c r="B120" i="12"/>
  <c r="X119" i="12"/>
  <c r="Z119" i="12" s="1"/>
  <c r="V119" i="12"/>
  <c r="L119" i="12"/>
  <c r="N119" i="12" s="1"/>
  <c r="B119" i="12"/>
  <c r="X118" i="12"/>
  <c r="Z118" i="12" s="1"/>
  <c r="V118" i="12"/>
  <c r="N118" i="12"/>
  <c r="L118" i="12"/>
  <c r="B118" i="12"/>
  <c r="X117" i="12"/>
  <c r="Z117" i="12" s="1"/>
  <c r="L117" i="12"/>
  <c r="N117" i="12" s="1"/>
  <c r="B117" i="12"/>
  <c r="Z116" i="12"/>
  <c r="X116" i="12"/>
  <c r="L116" i="12"/>
  <c r="N116" i="12" s="1"/>
  <c r="B116" i="12"/>
  <c r="T115" i="12"/>
  <c r="P115" i="12"/>
  <c r="X115" i="12" s="1"/>
  <c r="Z115" i="12" s="1"/>
  <c r="N115" i="12"/>
  <c r="L115" i="12"/>
  <c r="H115" i="12"/>
  <c r="D115" i="12"/>
  <c r="B115" i="12"/>
  <c r="X114" i="12"/>
  <c r="Z114" i="12" s="1"/>
  <c r="V114" i="12"/>
  <c r="N114" i="12"/>
  <c r="L114" i="12"/>
  <c r="B114" i="12"/>
  <c r="Z113" i="12"/>
  <c r="X113" i="12"/>
  <c r="T113" i="12"/>
  <c r="P113" i="12"/>
  <c r="H113" i="12"/>
  <c r="D113" i="12"/>
  <c r="B113" i="12"/>
  <c r="X112" i="12"/>
  <c r="Z112" i="12" s="1"/>
  <c r="N112" i="12"/>
  <c r="L112" i="12"/>
  <c r="B112" i="12"/>
  <c r="T111" i="12"/>
  <c r="P111" i="12"/>
  <c r="H111" i="12"/>
  <c r="N111" i="12" s="1"/>
  <c r="D111" i="12"/>
  <c r="L111" i="12" s="1"/>
  <c r="B111" i="12"/>
  <c r="Z110" i="12"/>
  <c r="X110" i="12"/>
  <c r="L110" i="12"/>
  <c r="N110" i="12" s="1"/>
  <c r="J110" i="12"/>
  <c r="B110" i="12"/>
  <c r="T109" i="12"/>
  <c r="Z109" i="12" s="1"/>
  <c r="P109" i="12"/>
  <c r="X109" i="12" s="1"/>
  <c r="H109" i="12"/>
  <c r="D109" i="12"/>
  <c r="L109" i="12" s="1"/>
  <c r="B109" i="12"/>
  <c r="Z108" i="12"/>
  <c r="X108" i="12"/>
  <c r="N108" i="12"/>
  <c r="L108" i="12"/>
  <c r="B108" i="12"/>
  <c r="T107" i="12"/>
  <c r="P107" i="12"/>
  <c r="X107" i="12" s="1"/>
  <c r="N107" i="12"/>
  <c r="L107" i="12"/>
  <c r="H107" i="12"/>
  <c r="D107" i="12"/>
  <c r="B107" i="12"/>
  <c r="X106" i="12"/>
  <c r="Z106" i="12" s="1"/>
  <c r="V106" i="12"/>
  <c r="N106" i="12"/>
  <c r="L106" i="12"/>
  <c r="B106" i="12"/>
  <c r="X105" i="12"/>
  <c r="Z105" i="12" s="1"/>
  <c r="T105" i="12"/>
  <c r="P105" i="12"/>
  <c r="H105" i="12"/>
  <c r="D105" i="12"/>
  <c r="B105" i="12"/>
  <c r="Z104" i="12"/>
  <c r="X104" i="12"/>
  <c r="N104" i="12"/>
  <c r="L104" i="12"/>
  <c r="B104" i="12"/>
  <c r="X103" i="12"/>
  <c r="Z103" i="12" s="1"/>
  <c r="V103" i="12"/>
  <c r="N103" i="12"/>
  <c r="L103" i="12"/>
  <c r="B103" i="12"/>
  <c r="X102" i="12"/>
  <c r="Z102" i="12" s="1"/>
  <c r="V102" i="12"/>
  <c r="T102" i="12"/>
  <c r="P102" i="12"/>
  <c r="H102" i="12"/>
  <c r="D102" i="12"/>
  <c r="B102" i="12"/>
  <c r="X101" i="12"/>
  <c r="Z101" i="12" s="1"/>
  <c r="N101" i="12"/>
  <c r="L101" i="12"/>
  <c r="B101" i="12"/>
  <c r="Z100" i="12"/>
  <c r="X100" i="12"/>
  <c r="N100" i="12"/>
  <c r="L100" i="12"/>
  <c r="B100" i="12"/>
  <c r="V99" i="12"/>
  <c r="T99" i="12"/>
  <c r="P99" i="12"/>
  <c r="H99" i="12"/>
  <c r="N99" i="12" s="1"/>
  <c r="D99" i="12"/>
  <c r="L99" i="12" s="1"/>
  <c r="B99" i="12"/>
  <c r="Z98" i="12"/>
  <c r="X98" i="12"/>
  <c r="L98" i="12"/>
  <c r="N98" i="12" s="1"/>
  <c r="J98" i="12"/>
  <c r="B98" i="12"/>
  <c r="T97" i="12"/>
  <c r="P97" i="12"/>
  <c r="X97" i="12" s="1"/>
  <c r="H97" i="12"/>
  <c r="N97" i="12" s="1"/>
  <c r="D97" i="12"/>
  <c r="L97" i="12" s="1"/>
  <c r="B97" i="12"/>
  <c r="Z96" i="12"/>
  <c r="X96" i="12"/>
  <c r="N96" i="12"/>
  <c r="L96" i="12"/>
  <c r="B96" i="12"/>
  <c r="T95" i="12"/>
  <c r="Z95" i="12" s="1"/>
  <c r="P95" i="12"/>
  <c r="X95" i="12" s="1"/>
  <c r="L95" i="12"/>
  <c r="N95" i="12" s="1"/>
  <c r="H95" i="12"/>
  <c r="D95" i="12"/>
  <c r="B95" i="12"/>
  <c r="X94" i="12"/>
  <c r="Z94" i="12" s="1"/>
  <c r="V94" i="12"/>
  <c r="N94" i="12"/>
  <c r="L94" i="12"/>
  <c r="B94" i="12"/>
  <c r="X93" i="12"/>
  <c r="Z93" i="12" s="1"/>
  <c r="T93" i="12"/>
  <c r="P93" i="12"/>
  <c r="J93" i="12"/>
  <c r="H93" i="12"/>
  <c r="D93" i="12"/>
  <c r="B93" i="12"/>
  <c r="Z92" i="12"/>
  <c r="X92" i="12"/>
  <c r="N92" i="12"/>
  <c r="L92" i="12"/>
  <c r="B92" i="12"/>
  <c r="Z91" i="12"/>
  <c r="X91" i="12"/>
  <c r="V91" i="12"/>
  <c r="N91" i="12"/>
  <c r="L91" i="12"/>
  <c r="B91" i="12"/>
  <c r="Z90" i="12"/>
  <c r="X90" i="12"/>
  <c r="V90" i="12"/>
  <c r="T90" i="12"/>
  <c r="P90" i="12"/>
  <c r="H90" i="12"/>
  <c r="D90" i="12"/>
  <c r="B90" i="12"/>
  <c r="X89" i="12"/>
  <c r="Z89" i="12" s="1"/>
  <c r="N89" i="12"/>
  <c r="L89" i="12"/>
  <c r="B89" i="12"/>
  <c r="Z88" i="12"/>
  <c r="X88" i="12"/>
  <c r="N88" i="12"/>
  <c r="L88" i="12"/>
  <c r="B88" i="12"/>
  <c r="T87" i="12"/>
  <c r="P87" i="12"/>
  <c r="H87" i="12"/>
  <c r="N87" i="12" s="1"/>
  <c r="D87" i="12"/>
  <c r="L87" i="12" s="1"/>
  <c r="B87" i="12"/>
  <c r="Z86" i="12"/>
  <c r="X86" i="12"/>
  <c r="L86" i="12"/>
  <c r="N86" i="12" s="1"/>
  <c r="J86" i="12"/>
  <c r="B86" i="12"/>
  <c r="T85" i="12"/>
  <c r="Z85" i="12" s="1"/>
  <c r="P85" i="12"/>
  <c r="X85" i="12" s="1"/>
  <c r="H85" i="12"/>
  <c r="N85" i="12" s="1"/>
  <c r="D85" i="12"/>
  <c r="L85" i="12" s="1"/>
  <c r="B85" i="12"/>
  <c r="Z84" i="12"/>
  <c r="X84" i="12"/>
  <c r="N84" i="12"/>
  <c r="L84" i="12"/>
  <c r="B84" i="12"/>
  <c r="T83" i="12"/>
  <c r="P83" i="12"/>
  <c r="X83" i="12" s="1"/>
  <c r="L83" i="12"/>
  <c r="N83" i="12" s="1"/>
  <c r="H83" i="12"/>
  <c r="D83" i="12"/>
  <c r="B83" i="12"/>
  <c r="X82" i="12"/>
  <c r="Z82" i="12" s="1"/>
  <c r="V82" i="12"/>
  <c r="N82" i="12"/>
  <c r="L82" i="12"/>
  <c r="B82" i="12"/>
  <c r="Z81" i="12"/>
  <c r="X81" i="12"/>
  <c r="T81" i="12"/>
  <c r="P81" i="12"/>
  <c r="H81" i="12"/>
  <c r="D81" i="12"/>
  <c r="B81" i="12"/>
  <c r="Z80" i="12"/>
  <c r="X80" i="12"/>
  <c r="N80" i="12"/>
  <c r="L80" i="12"/>
  <c r="B80" i="12"/>
  <c r="Z79" i="12"/>
  <c r="X79" i="12"/>
  <c r="V79" i="12"/>
  <c r="N79" i="12"/>
  <c r="L79" i="12"/>
  <c r="B79" i="12"/>
  <c r="X78" i="12"/>
  <c r="Z78" i="12" s="1"/>
  <c r="V78" i="12"/>
  <c r="N78" i="12"/>
  <c r="L78" i="12"/>
  <c r="B78" i="12"/>
  <c r="X77" i="12"/>
  <c r="Z77" i="12" s="1"/>
  <c r="L77" i="12"/>
  <c r="N77" i="12" s="1"/>
  <c r="B77" i="12"/>
  <c r="Z76" i="12"/>
  <c r="X76" i="12"/>
  <c r="N76" i="12"/>
  <c r="L76" i="12"/>
  <c r="B76" i="12"/>
  <c r="X75" i="12"/>
  <c r="Z75" i="12" s="1"/>
  <c r="L75" i="12"/>
  <c r="N75" i="12" s="1"/>
  <c r="J75" i="12"/>
  <c r="B75" i="12"/>
  <c r="Z74" i="12"/>
  <c r="X74" i="12"/>
  <c r="L74" i="12"/>
  <c r="N74" i="12" s="1"/>
  <c r="J74" i="12"/>
  <c r="B74" i="12"/>
  <c r="Z73" i="12"/>
  <c r="X73" i="12"/>
  <c r="N73" i="12"/>
  <c r="L73" i="12"/>
  <c r="B73" i="12"/>
  <c r="Z72" i="12"/>
  <c r="X72" i="12"/>
  <c r="N72" i="12"/>
  <c r="L72" i="12"/>
  <c r="B72" i="12"/>
  <c r="X71" i="12"/>
  <c r="Z71" i="12" s="1"/>
  <c r="V71" i="12"/>
  <c r="L71" i="12"/>
  <c r="N71" i="12" s="1"/>
  <c r="B71" i="12"/>
  <c r="X70" i="12"/>
  <c r="Z70" i="12" s="1"/>
  <c r="V70" i="12"/>
  <c r="T70" i="12"/>
  <c r="P70" i="12"/>
  <c r="H70" i="12"/>
  <c r="D70" i="12"/>
  <c r="B70" i="12"/>
  <c r="X69" i="12"/>
  <c r="Z69" i="12" s="1"/>
  <c r="N69" i="12"/>
  <c r="L69" i="12"/>
  <c r="B69" i="12"/>
  <c r="Z68" i="12"/>
  <c r="X68" i="12"/>
  <c r="N68" i="12"/>
  <c r="L68" i="12"/>
  <c r="B68" i="12"/>
  <c r="X67" i="12"/>
  <c r="Z67" i="12" s="1"/>
  <c r="V67" i="12"/>
  <c r="L67" i="12"/>
  <c r="N67" i="12" s="1"/>
  <c r="B67" i="12"/>
  <c r="Z66" i="12"/>
  <c r="X66" i="12"/>
  <c r="V66" i="12"/>
  <c r="N66" i="12"/>
  <c r="L66" i="12"/>
  <c r="B66" i="12"/>
  <c r="Z65" i="12"/>
  <c r="X65" i="12"/>
  <c r="N65" i="12"/>
  <c r="L65" i="12"/>
  <c r="B65" i="12"/>
  <c r="Z64" i="12"/>
  <c r="X64" i="12"/>
  <c r="N64" i="12"/>
  <c r="L64" i="12"/>
  <c r="B64" i="12"/>
  <c r="X63" i="12"/>
  <c r="Z63" i="12" s="1"/>
  <c r="L63" i="12"/>
  <c r="N63" i="12" s="1"/>
  <c r="J63" i="12"/>
  <c r="B63" i="12"/>
  <c r="Z62" i="12"/>
  <c r="X62" i="12"/>
  <c r="L62" i="12"/>
  <c r="N62" i="12" s="1"/>
  <c r="J62" i="12"/>
  <c r="B62" i="12"/>
  <c r="X61" i="12"/>
  <c r="Z61" i="12" s="1"/>
  <c r="N61" i="12"/>
  <c r="L61" i="12"/>
  <c r="B61" i="12"/>
  <c r="Z60" i="12"/>
  <c r="X60" i="12"/>
  <c r="N60" i="12"/>
  <c r="L60" i="12"/>
  <c r="B60" i="12"/>
  <c r="T59" i="12"/>
  <c r="V59" i="12" s="1"/>
  <c r="P59" i="12"/>
  <c r="H59" i="12"/>
  <c r="D59" i="12"/>
  <c r="L59" i="12" s="1"/>
  <c r="B59" i="12"/>
  <c r="T58" i="12" a="1"/>
  <c r="T58" i="12" s="1"/>
  <c r="P58" i="12" a="1"/>
  <c r="P58" i="12" s="1"/>
  <c r="X58" i="12" s="1"/>
  <c r="H58" i="12" a="1"/>
  <c r="H58" i="12" s="1"/>
  <c r="D58" i="12" a="1"/>
  <c r="D58" i="12" s="1"/>
  <c r="L58" i="12" s="1"/>
  <c r="Z54" i="12"/>
  <c r="X54" i="12"/>
  <c r="V54" i="12"/>
  <c r="N54" i="12"/>
  <c r="L54" i="12"/>
  <c r="B54" i="12"/>
  <c r="Z53" i="12"/>
  <c r="X53" i="12"/>
  <c r="N53" i="12"/>
  <c r="L53" i="12"/>
  <c r="B53" i="12"/>
  <c r="Z52" i="12"/>
  <c r="X52" i="12"/>
  <c r="N52" i="12"/>
  <c r="L52" i="12"/>
  <c r="B52" i="12"/>
  <c r="Z51" i="12"/>
  <c r="X51" i="12"/>
  <c r="N51" i="12"/>
  <c r="L51" i="12"/>
  <c r="J51" i="12"/>
  <c r="B51" i="12"/>
  <c r="Z50" i="12"/>
  <c r="X50" i="12"/>
  <c r="N50" i="12"/>
  <c r="L50" i="12"/>
  <c r="J50" i="12"/>
  <c r="B50" i="12"/>
  <c r="Z49" i="12"/>
  <c r="X49" i="12"/>
  <c r="N49" i="12"/>
  <c r="L49" i="12"/>
  <c r="B49" i="12"/>
  <c r="Z48" i="12"/>
  <c r="X48" i="12"/>
  <c r="N48" i="12"/>
  <c r="L48" i="12"/>
  <c r="B48" i="12"/>
  <c r="Z47" i="12"/>
  <c r="X47" i="12"/>
  <c r="V47" i="12"/>
  <c r="N47" i="12"/>
  <c r="L47" i="12"/>
  <c r="B47" i="12"/>
  <c r="Z46" i="12"/>
  <c r="X46" i="12"/>
  <c r="V46" i="12"/>
  <c r="N46" i="12"/>
  <c r="L46" i="12"/>
  <c r="B46" i="12"/>
  <c r="Z45" i="12"/>
  <c r="X45" i="12"/>
  <c r="N45" i="12"/>
  <c r="L45" i="12"/>
  <c r="B45" i="12"/>
  <c r="Z44" i="12"/>
  <c r="X44" i="12"/>
  <c r="N44" i="12"/>
  <c r="L44" i="12"/>
  <c r="B44" i="12"/>
  <c r="Z43" i="12"/>
  <c r="X43" i="12"/>
  <c r="N43" i="12"/>
  <c r="L43" i="12"/>
  <c r="J43" i="12"/>
  <c r="B43" i="12"/>
  <c r="Z42" i="12"/>
  <c r="X42" i="12"/>
  <c r="N42" i="12"/>
  <c r="L42" i="12"/>
  <c r="J42" i="12"/>
  <c r="B42" i="12"/>
  <c r="Z41" i="12"/>
  <c r="X41" i="12"/>
  <c r="N41" i="12"/>
  <c r="L41" i="12"/>
  <c r="B41" i="12"/>
  <c r="Z40" i="12"/>
  <c r="X40" i="12"/>
  <c r="N40" i="12"/>
  <c r="L40" i="12"/>
  <c r="B40" i="12"/>
  <c r="Z39" i="12"/>
  <c r="X39" i="12"/>
  <c r="V39" i="12"/>
  <c r="N39" i="12"/>
  <c r="L39" i="12"/>
  <c r="B39" i="12"/>
  <c r="Z38" i="12"/>
  <c r="X38" i="12"/>
  <c r="V38" i="12"/>
  <c r="N38" i="12"/>
  <c r="L38" i="12"/>
  <c r="B38" i="12"/>
  <c r="Z37" i="12"/>
  <c r="X37" i="12"/>
  <c r="N37" i="12"/>
  <c r="L37" i="12"/>
  <c r="B37" i="12"/>
  <c r="Z36" i="12"/>
  <c r="X36" i="12"/>
  <c r="N36" i="12"/>
  <c r="L36" i="12"/>
  <c r="B36" i="12"/>
  <c r="Z35" i="12"/>
  <c r="X35" i="12"/>
  <c r="N35" i="12"/>
  <c r="L35" i="12"/>
  <c r="J35" i="12"/>
  <c r="B35" i="12"/>
  <c r="Z34" i="12"/>
  <c r="X34" i="12"/>
  <c r="N34" i="12"/>
  <c r="L34" i="12"/>
  <c r="J34" i="12"/>
  <c r="B34" i="12"/>
  <c r="Z33" i="12"/>
  <c r="X33" i="12"/>
  <c r="N33" i="12"/>
  <c r="L33" i="12"/>
  <c r="B33" i="12"/>
  <c r="Z32" i="12"/>
  <c r="X32" i="12"/>
  <c r="N32" i="12"/>
  <c r="L32" i="12"/>
  <c r="B32" i="12"/>
  <c r="Z31" i="12"/>
  <c r="X31" i="12"/>
  <c r="V31" i="12"/>
  <c r="N31" i="12"/>
  <c r="L31" i="12"/>
  <c r="B31" i="12"/>
  <c r="Z30" i="12"/>
  <c r="X30" i="12"/>
  <c r="V30" i="12"/>
  <c r="N30" i="12"/>
  <c r="L30" i="12"/>
  <c r="B30" i="12"/>
  <c r="Z29" i="12"/>
  <c r="X29" i="12"/>
  <c r="N29" i="12"/>
  <c r="L29" i="12"/>
  <c r="J29" i="12"/>
  <c r="B29" i="12"/>
  <c r="Z28" i="12"/>
  <c r="X28" i="12"/>
  <c r="N28" i="12"/>
  <c r="L28" i="12"/>
  <c r="B28" i="12"/>
  <c r="Z27" i="12"/>
  <c r="X27" i="12"/>
  <c r="N27" i="12"/>
  <c r="L27" i="12"/>
  <c r="J27" i="12"/>
  <c r="B27" i="12"/>
  <c r="Z26" i="12"/>
  <c r="X26" i="12"/>
  <c r="L26" i="12"/>
  <c r="N26" i="12" s="1"/>
  <c r="J26" i="12"/>
  <c r="B26" i="12"/>
  <c r="V25" i="12"/>
  <c r="T25" i="12"/>
  <c r="P25" i="12"/>
  <c r="X25" i="12" s="1"/>
  <c r="H25" i="12"/>
  <c r="N25" i="12" s="1"/>
  <c r="D25" i="12"/>
  <c r="L25" i="12" s="1"/>
  <c r="Z23" i="12"/>
  <c r="X23" i="12"/>
  <c r="P23" i="12"/>
  <c r="N23" i="12"/>
  <c r="D23" i="12"/>
  <c r="L23" i="12" s="1"/>
  <c r="B23" i="12"/>
  <c r="Z22" i="12"/>
  <c r="P22" i="12"/>
  <c r="X22" i="12" s="1"/>
  <c r="N22" i="12"/>
  <c r="L22" i="12"/>
  <c r="D22" i="12"/>
  <c r="B22" i="12"/>
  <c r="Z21" i="12"/>
  <c r="P21" i="12"/>
  <c r="X21" i="12" s="1"/>
  <c r="N21" i="12"/>
  <c r="D21" i="12"/>
  <c r="L21" i="12" s="1"/>
  <c r="B21" i="12"/>
  <c r="Z20" i="12"/>
  <c r="X20" i="12"/>
  <c r="P20" i="12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P18" i="12"/>
  <c r="X18" i="12" s="1"/>
  <c r="N18" i="12"/>
  <c r="D18" i="12"/>
  <c r="L18" i="12" s="1"/>
  <c r="B18" i="12"/>
  <c r="Z17" i="12"/>
  <c r="X17" i="12"/>
  <c r="P17" i="12"/>
  <c r="N17" i="12"/>
  <c r="L17" i="12"/>
  <c r="D17" i="12"/>
  <c r="B17" i="12"/>
  <c r="Z16" i="12"/>
  <c r="P16" i="12"/>
  <c r="X16" i="12" s="1"/>
  <c r="D16" i="12"/>
  <c r="L16" i="12" s="1"/>
  <c r="N16" i="12" s="1"/>
  <c r="B16" i="12"/>
  <c r="Z15" i="12"/>
  <c r="X15" i="12"/>
  <c r="P15" i="12"/>
  <c r="N15" i="12"/>
  <c r="D15" i="12"/>
  <c r="L15" i="12" s="1"/>
  <c r="B15" i="12"/>
  <c r="Z14" i="12"/>
  <c r="X14" i="12"/>
  <c r="P14" i="12"/>
  <c r="N14" i="12"/>
  <c r="L14" i="12"/>
  <c r="D14" i="12"/>
  <c r="B14" i="12"/>
  <c r="P13" i="12"/>
  <c r="X13" i="12" s="1"/>
  <c r="Z13" i="12" s="1"/>
  <c r="D13" i="12"/>
  <c r="L13" i="12" s="1"/>
  <c r="N13" i="12" s="1"/>
  <c r="B13" i="12"/>
  <c r="T12" i="12"/>
  <c r="H12" i="12"/>
  <c r="J146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36" i="11" s="1"/>
  <c r="P12" i="11"/>
  <c r="R34" i="11" s="1"/>
  <c r="H12" i="11"/>
  <c r="J20" i="11" s="1"/>
  <c r="D12" i="11"/>
  <c r="F36" i="11" s="1"/>
  <c r="D5" i="11"/>
  <c r="D4" i="11"/>
  <c r="B39" i="10"/>
  <c r="B38" i="10"/>
  <c r="T34" i="10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4" i="10" s="1"/>
  <c r="P12" i="10"/>
  <c r="R20" i="10" s="1"/>
  <c r="H12" i="10"/>
  <c r="J22" i="10" s="1"/>
  <c r="D12" i="10"/>
  <c r="F18" i="10" s="1"/>
  <c r="D5" i="10"/>
  <c r="D4" i="10"/>
  <c r="R101" i="9"/>
  <c r="Z99" i="9"/>
  <c r="X99" i="9"/>
  <c r="N99" i="9"/>
  <c r="L99" i="9"/>
  <c r="T95" i="9"/>
  <c r="Z95" i="9" s="1"/>
  <c r="R95" i="9"/>
  <c r="P95" i="9"/>
  <c r="X95" i="9" s="1"/>
  <c r="H95" i="9"/>
  <c r="N95" i="9" s="1"/>
  <c r="D95" i="9"/>
  <c r="L95" i="9" s="1"/>
  <c r="X93" i="9"/>
  <c r="Z93" i="9" s="1"/>
  <c r="N93" i="9"/>
  <c r="L93" i="9"/>
  <c r="B93" i="9"/>
  <c r="Z92" i="9"/>
  <c r="X92" i="9"/>
  <c r="N92" i="9"/>
  <c r="L92" i="9"/>
  <c r="F92" i="9"/>
  <c r="B92" i="9"/>
  <c r="T91" i="9"/>
  <c r="Z91" i="9" s="1"/>
  <c r="P91" i="9"/>
  <c r="X91" i="9" s="1"/>
  <c r="N91" i="9"/>
  <c r="L91" i="9"/>
  <c r="H91" i="9"/>
  <c r="D91" i="9"/>
  <c r="B91" i="9"/>
  <c r="X90" i="9"/>
  <c r="Z90" i="9" s="1"/>
  <c r="V90" i="9"/>
  <c r="N90" i="9"/>
  <c r="L90" i="9"/>
  <c r="B90" i="9"/>
  <c r="Z89" i="9"/>
  <c r="X89" i="9"/>
  <c r="T89" i="9"/>
  <c r="P89" i="9"/>
  <c r="J89" i="9"/>
  <c r="H89" i="9"/>
  <c r="D89" i="9"/>
  <c r="B89" i="9"/>
  <c r="X88" i="9"/>
  <c r="Z88" i="9" s="1"/>
  <c r="R88" i="9"/>
  <c r="N88" i="9"/>
  <c r="L88" i="9"/>
  <c r="B88" i="9"/>
  <c r="Z87" i="9"/>
  <c r="X87" i="9"/>
  <c r="V87" i="9"/>
  <c r="R87" i="9"/>
  <c r="L87" i="9"/>
  <c r="N87" i="9" s="1"/>
  <c r="B87" i="9"/>
  <c r="X86" i="9"/>
  <c r="Z86" i="9" s="1"/>
  <c r="V86" i="9"/>
  <c r="T86" i="9"/>
  <c r="P86" i="9"/>
  <c r="H86" i="9"/>
  <c r="F86" i="9"/>
  <c r="D86" i="9"/>
  <c r="B86" i="9"/>
  <c r="Z85" i="9"/>
  <c r="X85" i="9"/>
  <c r="N85" i="9"/>
  <c r="L85" i="9"/>
  <c r="B85" i="9"/>
  <c r="X84" i="9"/>
  <c r="Z84" i="9" s="1"/>
  <c r="R84" i="9"/>
  <c r="N84" i="9"/>
  <c r="L84" i="9"/>
  <c r="B84" i="9"/>
  <c r="Z83" i="9"/>
  <c r="X83" i="9"/>
  <c r="V83" i="9"/>
  <c r="R83" i="9"/>
  <c r="L83" i="9"/>
  <c r="N83" i="9" s="1"/>
  <c r="B83" i="9"/>
  <c r="X82" i="9"/>
  <c r="Z82" i="9" s="1"/>
  <c r="V82" i="9"/>
  <c r="N82" i="9"/>
  <c r="L82" i="9"/>
  <c r="B82" i="9"/>
  <c r="Z81" i="9"/>
  <c r="X81" i="9"/>
  <c r="N81" i="9"/>
  <c r="L81" i="9"/>
  <c r="B81" i="9"/>
  <c r="Z80" i="9"/>
  <c r="X80" i="9"/>
  <c r="L80" i="9"/>
  <c r="N80" i="9" s="1"/>
  <c r="F80" i="9"/>
  <c r="B80" i="9"/>
  <c r="T79" i="9"/>
  <c r="P79" i="9"/>
  <c r="X79" i="9" s="1"/>
  <c r="N79" i="9"/>
  <c r="L79" i="9"/>
  <c r="H79" i="9"/>
  <c r="D79" i="9"/>
  <c r="B79" i="9"/>
  <c r="X78" i="9"/>
  <c r="Z78" i="9" s="1"/>
  <c r="V78" i="9"/>
  <c r="N78" i="9"/>
  <c r="L78" i="9"/>
  <c r="B78" i="9"/>
  <c r="X77" i="9"/>
  <c r="Z77" i="9" s="1"/>
  <c r="L77" i="9"/>
  <c r="N77" i="9" s="1"/>
  <c r="B77" i="9"/>
  <c r="T76" i="9"/>
  <c r="P76" i="9"/>
  <c r="X76" i="9" s="1"/>
  <c r="Z76" i="9" s="1"/>
  <c r="L76" i="9"/>
  <c r="N76" i="9" s="1"/>
  <c r="H76" i="9"/>
  <c r="D76" i="9"/>
  <c r="B76" i="9"/>
  <c r="X75" i="9"/>
  <c r="Z75" i="9" s="1"/>
  <c r="V75" i="9"/>
  <c r="R75" i="9"/>
  <c r="L75" i="9"/>
  <c r="N75" i="9" s="1"/>
  <c r="B75" i="9"/>
  <c r="X74" i="9"/>
  <c r="Z74" i="9" s="1"/>
  <c r="V74" i="9"/>
  <c r="N74" i="9"/>
  <c r="L74" i="9"/>
  <c r="B74" i="9"/>
  <c r="Z73" i="9"/>
  <c r="X73" i="9"/>
  <c r="T73" i="9"/>
  <c r="P73" i="9"/>
  <c r="H73" i="9"/>
  <c r="D73" i="9"/>
  <c r="B73" i="9"/>
  <c r="X72" i="9"/>
  <c r="Z72" i="9" s="1"/>
  <c r="R72" i="9"/>
  <c r="N72" i="9"/>
  <c r="L72" i="9"/>
  <c r="B72" i="9"/>
  <c r="Z71" i="9"/>
  <c r="X71" i="9"/>
  <c r="V71" i="9"/>
  <c r="R71" i="9"/>
  <c r="L71" i="9"/>
  <c r="N71" i="9" s="1"/>
  <c r="B71" i="9"/>
  <c r="X70" i="9"/>
  <c r="Z70" i="9" s="1"/>
  <c r="V70" i="9"/>
  <c r="N70" i="9"/>
  <c r="L70" i="9"/>
  <c r="B70" i="9"/>
  <c r="Z69" i="9"/>
  <c r="X69" i="9"/>
  <c r="L69" i="9"/>
  <c r="N69" i="9" s="1"/>
  <c r="B69" i="9"/>
  <c r="Z68" i="9"/>
  <c r="T68" i="9"/>
  <c r="P68" i="9"/>
  <c r="X68" i="9" s="1"/>
  <c r="L68" i="9"/>
  <c r="N68" i="9" s="1"/>
  <c r="J68" i="9"/>
  <c r="H68" i="9"/>
  <c r="D68" i="9"/>
  <c r="B68" i="9"/>
  <c r="X67" i="9"/>
  <c r="Z67" i="9" s="1"/>
  <c r="V67" i="9"/>
  <c r="R67" i="9"/>
  <c r="L67" i="9"/>
  <c r="N67" i="9" s="1"/>
  <c r="B67" i="9"/>
  <c r="X66" i="9"/>
  <c r="Z66" i="9" s="1"/>
  <c r="V66" i="9"/>
  <c r="N66" i="9"/>
  <c r="L66" i="9"/>
  <c r="B66" i="9"/>
  <c r="X65" i="9"/>
  <c r="Z65" i="9" s="1"/>
  <c r="N65" i="9"/>
  <c r="L65" i="9"/>
  <c r="B65" i="9"/>
  <c r="Z64" i="9"/>
  <c r="X64" i="9"/>
  <c r="N64" i="9"/>
  <c r="L64" i="9"/>
  <c r="F64" i="9"/>
  <c r="B64" i="9"/>
  <c r="T63" i="9"/>
  <c r="P63" i="9"/>
  <c r="X63" i="9" s="1"/>
  <c r="L63" i="9"/>
  <c r="N63" i="9" s="1"/>
  <c r="H63" i="9"/>
  <c r="D63" i="9"/>
  <c r="B63" i="9"/>
  <c r="X62" i="9"/>
  <c r="Z62" i="9" s="1"/>
  <c r="V62" i="9"/>
  <c r="N62" i="9"/>
  <c r="L62" i="9"/>
  <c r="B62" i="9"/>
  <c r="X61" i="9"/>
  <c r="Z61" i="9" s="1"/>
  <c r="T61" i="9"/>
  <c r="P61" i="9"/>
  <c r="H61" i="9"/>
  <c r="D61" i="9"/>
  <c r="B61" i="9"/>
  <c r="X60" i="9"/>
  <c r="Z60" i="9" s="1"/>
  <c r="R60" i="9"/>
  <c r="N60" i="9"/>
  <c r="L60" i="9"/>
  <c r="B60" i="9"/>
  <c r="V59" i="9"/>
  <c r="T59" i="9"/>
  <c r="P59" i="9"/>
  <c r="H59" i="9"/>
  <c r="N59" i="9" s="1"/>
  <c r="F59" i="9"/>
  <c r="D59" i="9"/>
  <c r="L59" i="9" s="1"/>
  <c r="B59" i="9"/>
  <c r="Z58" i="9"/>
  <c r="X58" i="9"/>
  <c r="L58" i="9"/>
  <c r="N58" i="9" s="1"/>
  <c r="B58" i="9"/>
  <c r="T57" i="9"/>
  <c r="R57" i="9"/>
  <c r="P57" i="9"/>
  <c r="X57" i="9" s="1"/>
  <c r="H57" i="9"/>
  <c r="D57" i="9"/>
  <c r="L57" i="9" s="1"/>
  <c r="B57" i="9"/>
  <c r="Z56" i="9"/>
  <c r="X56" i="9"/>
  <c r="L56" i="9"/>
  <c r="N56" i="9" s="1"/>
  <c r="F56" i="9"/>
  <c r="B56" i="9"/>
  <c r="T55" i="9"/>
  <c r="P55" i="9"/>
  <c r="X55" i="9" s="1"/>
  <c r="N55" i="9"/>
  <c r="L55" i="9"/>
  <c r="H55" i="9"/>
  <c r="D55" i="9"/>
  <c r="B55" i="9"/>
  <c r="X54" i="9"/>
  <c r="Z54" i="9" s="1"/>
  <c r="V54" i="9"/>
  <c r="N54" i="9"/>
  <c r="L54" i="9"/>
  <c r="B54" i="9"/>
  <c r="X53" i="9"/>
  <c r="Z53" i="9" s="1"/>
  <c r="T53" i="9"/>
  <c r="P53" i="9"/>
  <c r="H53" i="9"/>
  <c r="D53" i="9"/>
  <c r="B53" i="9"/>
  <c r="X52" i="9"/>
  <c r="Z52" i="9" s="1"/>
  <c r="R52" i="9"/>
  <c r="N52" i="9"/>
  <c r="L52" i="9"/>
  <c r="B52" i="9"/>
  <c r="V51" i="9"/>
  <c r="T51" i="9"/>
  <c r="P51" i="9"/>
  <c r="H51" i="9"/>
  <c r="F51" i="9"/>
  <c r="D51" i="9"/>
  <c r="L51" i="9" s="1"/>
  <c r="B51" i="9"/>
  <c r="Z50" i="9"/>
  <c r="X50" i="9"/>
  <c r="L50" i="9"/>
  <c r="N50" i="9" s="1"/>
  <c r="B50" i="9"/>
  <c r="X49" i="9"/>
  <c r="Z49" i="9" s="1"/>
  <c r="L49" i="9"/>
  <c r="N49" i="9" s="1"/>
  <c r="B49" i="9"/>
  <c r="T48" i="9"/>
  <c r="R48" i="9"/>
  <c r="P48" i="9"/>
  <c r="H48" i="9"/>
  <c r="D48" i="9"/>
  <c r="L48" i="9" s="1"/>
  <c r="B48" i="9"/>
  <c r="X47" i="9"/>
  <c r="Z47" i="9" s="1"/>
  <c r="L47" i="9"/>
  <c r="N47" i="9" s="1"/>
  <c r="F47" i="9"/>
  <c r="B47" i="9"/>
  <c r="T46" i="9"/>
  <c r="P46" i="9"/>
  <c r="X46" i="9" s="1"/>
  <c r="N46" i="9"/>
  <c r="H46" i="9"/>
  <c r="D46" i="9"/>
  <c r="L46" i="9" s="1"/>
  <c r="B46" i="9"/>
  <c r="Z45" i="9"/>
  <c r="X45" i="9"/>
  <c r="L45" i="9"/>
  <c r="N45" i="9" s="1"/>
  <c r="B45" i="9"/>
  <c r="Z44" i="9"/>
  <c r="T44" i="9"/>
  <c r="P44" i="9"/>
  <c r="X44" i="9" s="1"/>
  <c r="L44" i="9"/>
  <c r="N44" i="9" s="1"/>
  <c r="J44" i="9"/>
  <c r="H44" i="9"/>
  <c r="D44" i="9"/>
  <c r="B44" i="9"/>
  <c r="X43" i="9"/>
  <c r="Z43" i="9" s="1"/>
  <c r="V43" i="9"/>
  <c r="R43" i="9"/>
  <c r="L43" i="9"/>
  <c r="N43" i="9" s="1"/>
  <c r="B43" i="9"/>
  <c r="X42" i="9"/>
  <c r="Z42" i="9" s="1"/>
  <c r="V42" i="9"/>
  <c r="T42" i="9"/>
  <c r="P42" i="9"/>
  <c r="H42" i="9"/>
  <c r="F42" i="9"/>
  <c r="D42" i="9"/>
  <c r="B42" i="9"/>
  <c r="Z41" i="9"/>
  <c r="X41" i="9"/>
  <c r="N41" i="9"/>
  <c r="L41" i="9"/>
  <c r="B41" i="9"/>
  <c r="Z40" i="9"/>
  <c r="X40" i="9"/>
  <c r="R40" i="9"/>
  <c r="N40" i="9"/>
  <c r="L40" i="9"/>
  <c r="B40" i="9"/>
  <c r="X39" i="9"/>
  <c r="Z39" i="9" s="1"/>
  <c r="V39" i="9"/>
  <c r="R39" i="9"/>
  <c r="L39" i="9"/>
  <c r="N39" i="9" s="1"/>
  <c r="B39" i="9"/>
  <c r="X38" i="9"/>
  <c r="Z38" i="9" s="1"/>
  <c r="V38" i="9"/>
  <c r="N38" i="9"/>
  <c r="L38" i="9"/>
  <c r="B38" i="9"/>
  <c r="Z37" i="9"/>
  <c r="X37" i="9"/>
  <c r="N37" i="9"/>
  <c r="L37" i="9"/>
  <c r="F37" i="9"/>
  <c r="B37" i="9"/>
  <c r="Z36" i="9"/>
  <c r="X36" i="9"/>
  <c r="L36" i="9"/>
  <c r="N36" i="9" s="1"/>
  <c r="F36" i="9"/>
  <c r="B36" i="9"/>
  <c r="X35" i="9"/>
  <c r="Z35" i="9" s="1"/>
  <c r="L35" i="9"/>
  <c r="N35" i="9" s="1"/>
  <c r="F35" i="9"/>
  <c r="B35" i="9"/>
  <c r="Z34" i="9"/>
  <c r="X34" i="9"/>
  <c r="N34" i="9"/>
  <c r="L34" i="9"/>
  <c r="B34" i="9"/>
  <c r="X33" i="9"/>
  <c r="Z33" i="9" s="1"/>
  <c r="N33" i="9"/>
  <c r="L33" i="9"/>
  <c r="B33" i="9"/>
  <c r="X32" i="9"/>
  <c r="Z32" i="9" s="1"/>
  <c r="R32" i="9"/>
  <c r="N32" i="9"/>
  <c r="L32" i="9"/>
  <c r="B32" i="9"/>
  <c r="V31" i="9"/>
  <c r="T31" i="9"/>
  <c r="P31" i="9"/>
  <c r="H31" i="9"/>
  <c r="N31" i="9" s="1"/>
  <c r="F31" i="9"/>
  <c r="D31" i="9"/>
  <c r="L31" i="9" s="1"/>
  <c r="B31" i="9"/>
  <c r="Z30" i="9"/>
  <c r="X30" i="9"/>
  <c r="L30" i="9"/>
  <c r="N30" i="9" s="1"/>
  <c r="B30" i="9"/>
  <c r="X29" i="9"/>
  <c r="Z29" i="9" s="1"/>
  <c r="L29" i="9"/>
  <c r="N29" i="9" s="1"/>
  <c r="B29" i="9"/>
  <c r="X28" i="9"/>
  <c r="Z28" i="9" s="1"/>
  <c r="V28" i="9"/>
  <c r="R28" i="9"/>
  <c r="N28" i="9"/>
  <c r="L28" i="9"/>
  <c r="B28" i="9"/>
  <c r="X27" i="9"/>
  <c r="Z27" i="9" s="1"/>
  <c r="V27" i="9"/>
  <c r="R27" i="9"/>
  <c r="L27" i="9"/>
  <c r="N27" i="9" s="1"/>
  <c r="B27" i="9"/>
  <c r="Z26" i="9"/>
  <c r="X26" i="9"/>
  <c r="V26" i="9"/>
  <c r="N26" i="9"/>
  <c r="L26" i="9"/>
  <c r="F26" i="9"/>
  <c r="B26" i="9"/>
  <c r="X25" i="9"/>
  <c r="Z25" i="9" s="1"/>
  <c r="L25" i="9"/>
  <c r="N25" i="9" s="1"/>
  <c r="F25" i="9"/>
  <c r="B25" i="9"/>
  <c r="Z24" i="9"/>
  <c r="X24" i="9"/>
  <c r="L24" i="9"/>
  <c r="N24" i="9" s="1"/>
  <c r="F24" i="9"/>
  <c r="B24" i="9"/>
  <c r="X23" i="9"/>
  <c r="Z23" i="9" s="1"/>
  <c r="L23" i="9"/>
  <c r="N23" i="9" s="1"/>
  <c r="F23" i="9"/>
  <c r="B23" i="9"/>
  <c r="Z22" i="9"/>
  <c r="X22" i="9"/>
  <c r="L22" i="9"/>
  <c r="N22" i="9" s="1"/>
  <c r="J22" i="9"/>
  <c r="B22" i="9"/>
  <c r="X21" i="9"/>
  <c r="Z21" i="9" s="1"/>
  <c r="V21" i="9"/>
  <c r="N21" i="9"/>
  <c r="L21" i="9"/>
  <c r="B21" i="9"/>
  <c r="X20" i="9"/>
  <c r="Z20" i="9" s="1"/>
  <c r="V20" i="9"/>
  <c r="R20" i="9"/>
  <c r="N20" i="9"/>
  <c r="L20" i="9"/>
  <c r="B20" i="9"/>
  <c r="V19" i="9"/>
  <c r="T19" i="9"/>
  <c r="P19" i="9"/>
  <c r="H19" i="9"/>
  <c r="N19" i="9" s="1"/>
  <c r="F19" i="9"/>
  <c r="D19" i="9"/>
  <c r="L19" i="9" s="1"/>
  <c r="B19" i="9"/>
  <c r="T18" i="9" a="1"/>
  <c r="T18" i="9" s="1"/>
  <c r="R18" i="9"/>
  <c r="P18" i="9" a="1"/>
  <c r="P18" i="9" s="1"/>
  <c r="H18" i="9" a="1"/>
  <c r="H18" i="9" s="1"/>
  <c r="F18" i="9"/>
  <c r="D18" i="9" a="1"/>
  <c r="D18" i="9" s="1"/>
  <c r="T16" i="9"/>
  <c r="P16" i="9"/>
  <c r="F16" i="9"/>
  <c r="D16" i="9"/>
  <c r="Z14" i="9"/>
  <c r="X14" i="9"/>
  <c r="V14" i="9"/>
  <c r="T14" i="9"/>
  <c r="P14" i="9"/>
  <c r="H14" i="9"/>
  <c r="F14" i="9"/>
  <c r="D14" i="9"/>
  <c r="T12" i="9"/>
  <c r="V104" i="9" s="1"/>
  <c r="P12" i="9"/>
  <c r="R90" i="9" s="1"/>
  <c r="L12" i="9"/>
  <c r="H12" i="9"/>
  <c r="D12" i="9"/>
  <c r="F104" i="9" s="1"/>
  <c r="D4" i="9"/>
  <c r="B39" i="8"/>
  <c r="B38" i="8"/>
  <c r="T34" i="8"/>
  <c r="Z34" i="8" s="1"/>
  <c r="P34" i="8"/>
  <c r="H34" i="8"/>
  <c r="N34" i="8" s="1"/>
  <c r="D34" i="8"/>
  <c r="T33" i="8"/>
  <c r="P33" i="8"/>
  <c r="H33" i="8"/>
  <c r="N33" i="8" s="1"/>
  <c r="D33" i="8"/>
  <c r="T29" i="8"/>
  <c r="P29" i="8"/>
  <c r="H29" i="8"/>
  <c r="N29" i="8" s="1"/>
  <c r="D29" i="8"/>
  <c r="T25" i="8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0" i="8" s="1"/>
  <c r="P12" i="8"/>
  <c r="R36" i="8" s="1"/>
  <c r="H12" i="8"/>
  <c r="J20" i="8" s="1"/>
  <c r="D12" i="8"/>
  <c r="F20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D33" i="7"/>
  <c r="T29" i="7"/>
  <c r="Z29" i="7" s="1"/>
  <c r="P29" i="7"/>
  <c r="H29" i="7"/>
  <c r="D29" i="7"/>
  <c r="T25" i="7"/>
  <c r="Z25" i="7" s="1"/>
  <c r="P25" i="7"/>
  <c r="H25" i="7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D22" i="7"/>
  <c r="B22" i="7"/>
  <c r="T21" i="7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D16" i="7"/>
  <c r="B16" i="7"/>
  <c r="T15" i="7"/>
  <c r="Z15" i="7" s="1"/>
  <c r="P15" i="7"/>
  <c r="H15" i="7"/>
  <c r="D15" i="7"/>
  <c r="T13" i="7"/>
  <c r="Z13" i="7" s="1"/>
  <c r="P13" i="7"/>
  <c r="H13" i="7"/>
  <c r="N13" i="7" s="1"/>
  <c r="D13" i="7"/>
  <c r="B13" i="7"/>
  <c r="T12" i="7"/>
  <c r="V22" i="7" s="1"/>
  <c r="P12" i="7"/>
  <c r="R18" i="7" s="1"/>
  <c r="H12" i="7"/>
  <c r="J20" i="7" s="1"/>
  <c r="D12" i="7"/>
  <c r="F22" i="7" s="1"/>
  <c r="D5" i="7"/>
  <c r="D4" i="7"/>
  <c r="V31" i="6"/>
  <c r="T29" i="6"/>
  <c r="R29" i="6"/>
  <c r="P29" i="6"/>
  <c r="X29" i="6" s="1"/>
  <c r="Z29" i="6" s="1"/>
  <c r="N29" i="6"/>
  <c r="L29" i="6"/>
  <c r="H29" i="6"/>
  <c r="D29" i="6"/>
  <c r="V28" i="6"/>
  <c r="T28" i="6"/>
  <c r="P28" i="6"/>
  <c r="H28" i="6"/>
  <c r="N28" i="6" s="1"/>
  <c r="D28" i="6"/>
  <c r="L28" i="6" s="1"/>
  <c r="R26" i="6"/>
  <c r="Z24" i="6"/>
  <c r="X24" i="6"/>
  <c r="V24" i="6"/>
  <c r="R24" i="6"/>
  <c r="N24" i="6"/>
  <c r="L24" i="6"/>
  <c r="V22" i="6"/>
  <c r="Z20" i="6"/>
  <c r="T20" i="6"/>
  <c r="R20" i="6"/>
  <c r="P20" i="6"/>
  <c r="X20" i="6" s="1"/>
  <c r="N20" i="6"/>
  <c r="L20" i="6"/>
  <c r="H20" i="6"/>
  <c r="D20" i="6"/>
  <c r="V18" i="6"/>
  <c r="T18" i="6"/>
  <c r="P18" i="6"/>
  <c r="H18" i="6"/>
  <c r="N18" i="6" s="1"/>
  <c r="D18" i="6"/>
  <c r="L18" i="6" s="1"/>
  <c r="R16" i="6"/>
  <c r="P16" i="6"/>
  <c r="P22" i="6" s="1"/>
  <c r="V14" i="6"/>
  <c r="T14" i="6"/>
  <c r="R14" i="6"/>
  <c r="P14" i="6"/>
  <c r="H14" i="6"/>
  <c r="N14" i="6" s="1"/>
  <c r="F14" i="6"/>
  <c r="D14" i="6"/>
  <c r="L14" i="6" s="1"/>
  <c r="Z12" i="6"/>
  <c r="X12" i="6"/>
  <c r="T12" i="6"/>
  <c r="V29" i="6" s="1"/>
  <c r="P12" i="6"/>
  <c r="R31" i="6" s="1"/>
  <c r="H12" i="6"/>
  <c r="D12" i="6"/>
  <c r="F28" i="6" s="1"/>
  <c r="D4" i="6"/>
  <c r="B39" i="5"/>
  <c r="B38" i="5"/>
  <c r="T34" i="5"/>
  <c r="Z34" i="5" s="1"/>
  <c r="P34" i="5"/>
  <c r="H34" i="5"/>
  <c r="N34" i="5" s="1"/>
  <c r="D34" i="5"/>
  <c r="T33" i="5"/>
  <c r="P33" i="5"/>
  <c r="H33" i="5"/>
  <c r="N33" i="5" s="1"/>
  <c r="D33" i="5"/>
  <c r="T29" i="5"/>
  <c r="P29" i="5"/>
  <c r="H29" i="5"/>
  <c r="N29" i="5" s="1"/>
  <c r="D29" i="5"/>
  <c r="T25" i="5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0" i="5" s="1"/>
  <c r="P12" i="5"/>
  <c r="R22" i="5" s="1"/>
  <c r="H12" i="5"/>
  <c r="J27" i="5" s="1"/>
  <c r="D12" i="5"/>
  <c r="F22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34" i="4" s="1"/>
  <c r="P12" i="4"/>
  <c r="R36" i="4" s="1"/>
  <c r="H12" i="4"/>
  <c r="J16" i="4" s="1"/>
  <c r="D12" i="4"/>
  <c r="F20" i="4" s="1"/>
  <c r="D5" i="4"/>
  <c r="D4" i="4"/>
  <c r="T185" i="3"/>
  <c r="P185" i="3"/>
  <c r="X185" i="3" s="1"/>
  <c r="Z185" i="3" s="1"/>
  <c r="L185" i="3"/>
  <c r="H185" i="3"/>
  <c r="N185" i="3" s="1"/>
  <c r="D185" i="3"/>
  <c r="T184" i="3"/>
  <c r="P184" i="3"/>
  <c r="H184" i="3"/>
  <c r="N184" i="3" s="1"/>
  <c r="D184" i="3"/>
  <c r="L184" i="3" s="1"/>
  <c r="X180" i="3"/>
  <c r="Z180" i="3" s="1"/>
  <c r="N180" i="3"/>
  <c r="L180" i="3"/>
  <c r="Z176" i="3"/>
  <c r="X176" i="3"/>
  <c r="P176" i="3"/>
  <c r="N176" i="3"/>
  <c r="D176" i="3"/>
  <c r="L176" i="3" s="1"/>
  <c r="B176" i="3"/>
  <c r="Z175" i="3"/>
  <c r="P175" i="3"/>
  <c r="X175" i="3" s="1"/>
  <c r="N175" i="3"/>
  <c r="L175" i="3"/>
  <c r="D175" i="3"/>
  <c r="B175" i="3"/>
  <c r="X174" i="3"/>
  <c r="Z174" i="3" s="1"/>
  <c r="P174" i="3"/>
  <c r="D174" i="3"/>
  <c r="L174" i="3" s="1"/>
  <c r="N174" i="3" s="1"/>
  <c r="B174" i="3"/>
  <c r="Z173" i="3"/>
  <c r="P173" i="3"/>
  <c r="X173" i="3" s="1"/>
  <c r="N173" i="3"/>
  <c r="L173" i="3"/>
  <c r="J173" i="3"/>
  <c r="D173" i="3"/>
  <c r="B173" i="3"/>
  <c r="P172" i="3"/>
  <c r="D172" i="3"/>
  <c r="L172" i="3" s="1"/>
  <c r="N172" i="3" s="1"/>
  <c r="B172" i="3"/>
  <c r="X171" i="3"/>
  <c r="Z171" i="3" s="1"/>
  <c r="P171" i="3"/>
  <c r="D171" i="3"/>
  <c r="B171" i="3"/>
  <c r="Z170" i="3"/>
  <c r="X170" i="3"/>
  <c r="P170" i="3"/>
  <c r="N170" i="3"/>
  <c r="L170" i="3"/>
  <c r="D170" i="3"/>
  <c r="B170" i="3"/>
  <c r="Z169" i="3"/>
  <c r="P169" i="3"/>
  <c r="X169" i="3" s="1"/>
  <c r="N169" i="3"/>
  <c r="L169" i="3"/>
  <c r="D169" i="3"/>
  <c r="B169" i="3"/>
  <c r="T168" i="3"/>
  <c r="H168" i="3"/>
  <c r="X166" i="3"/>
  <c r="Z166" i="3" s="1"/>
  <c r="N166" i="3"/>
  <c r="L166" i="3"/>
  <c r="B166" i="3"/>
  <c r="T165" i="3"/>
  <c r="P165" i="3"/>
  <c r="X165" i="3" s="1"/>
  <c r="H165" i="3"/>
  <c r="D165" i="3"/>
  <c r="L165" i="3" s="1"/>
  <c r="N165" i="3" s="1"/>
  <c r="B165" i="3"/>
  <c r="Z164" i="3"/>
  <c r="X164" i="3"/>
  <c r="L164" i="3"/>
  <c r="N164" i="3" s="1"/>
  <c r="J164" i="3"/>
  <c r="B164" i="3"/>
  <c r="Z163" i="3"/>
  <c r="X163" i="3"/>
  <c r="L163" i="3"/>
  <c r="N163" i="3" s="1"/>
  <c r="B163" i="3"/>
  <c r="X162" i="3"/>
  <c r="Z162" i="3" s="1"/>
  <c r="N162" i="3"/>
  <c r="L162" i="3"/>
  <c r="B162" i="3"/>
  <c r="T161" i="3"/>
  <c r="P161" i="3"/>
  <c r="H161" i="3"/>
  <c r="D161" i="3"/>
  <c r="L161" i="3" s="1"/>
  <c r="N161" i="3" s="1"/>
  <c r="B161" i="3"/>
  <c r="Z160" i="3"/>
  <c r="X160" i="3"/>
  <c r="L160" i="3"/>
  <c r="N160" i="3" s="1"/>
  <c r="B160" i="3"/>
  <c r="T159" i="3"/>
  <c r="P159" i="3"/>
  <c r="X159" i="3" s="1"/>
  <c r="Z159" i="3" s="1"/>
  <c r="L159" i="3"/>
  <c r="N159" i="3" s="1"/>
  <c r="H159" i="3"/>
  <c r="D159" i="3"/>
  <c r="B159" i="3"/>
  <c r="Z158" i="3"/>
  <c r="X158" i="3"/>
  <c r="L158" i="3"/>
  <c r="N158" i="3" s="1"/>
  <c r="B158" i="3"/>
  <c r="X157" i="3"/>
  <c r="Z157" i="3" s="1"/>
  <c r="N157" i="3"/>
  <c r="L157" i="3"/>
  <c r="B157" i="3"/>
  <c r="T156" i="3"/>
  <c r="Z156" i="3" s="1"/>
  <c r="P156" i="3"/>
  <c r="X156" i="3" s="1"/>
  <c r="N156" i="3"/>
  <c r="H156" i="3"/>
  <c r="D156" i="3"/>
  <c r="L156" i="3" s="1"/>
  <c r="B156" i="3"/>
  <c r="Z155" i="3"/>
  <c r="X155" i="3"/>
  <c r="N155" i="3"/>
  <c r="L155" i="3"/>
  <c r="B155" i="3"/>
  <c r="Z154" i="3"/>
  <c r="X154" i="3"/>
  <c r="L154" i="3"/>
  <c r="N154" i="3" s="1"/>
  <c r="B154" i="3"/>
  <c r="X153" i="3"/>
  <c r="Z153" i="3" s="1"/>
  <c r="N153" i="3"/>
  <c r="L153" i="3"/>
  <c r="B153" i="3"/>
  <c r="Z152" i="3"/>
  <c r="X152" i="3"/>
  <c r="L152" i="3"/>
  <c r="N152" i="3" s="1"/>
  <c r="B152" i="3"/>
  <c r="Z151" i="3"/>
  <c r="X151" i="3"/>
  <c r="L151" i="3"/>
  <c r="N151" i="3" s="1"/>
  <c r="B151" i="3"/>
  <c r="X150" i="3"/>
  <c r="Z150" i="3" s="1"/>
  <c r="N150" i="3"/>
  <c r="L150" i="3"/>
  <c r="B150" i="3"/>
  <c r="Z149" i="3"/>
  <c r="X149" i="3"/>
  <c r="L149" i="3"/>
  <c r="N149" i="3" s="1"/>
  <c r="B149" i="3"/>
  <c r="X148" i="3"/>
  <c r="Z148" i="3" s="1"/>
  <c r="L148" i="3"/>
  <c r="N148" i="3" s="1"/>
  <c r="B148" i="3"/>
  <c r="X147" i="3"/>
  <c r="Z147" i="3" s="1"/>
  <c r="N147" i="3"/>
  <c r="L147" i="3"/>
  <c r="B147" i="3"/>
  <c r="Z146" i="3"/>
  <c r="X146" i="3"/>
  <c r="L146" i="3"/>
  <c r="N146" i="3" s="1"/>
  <c r="B146" i="3"/>
  <c r="X145" i="3"/>
  <c r="Z145" i="3" s="1"/>
  <c r="T145" i="3"/>
  <c r="P145" i="3"/>
  <c r="N145" i="3"/>
  <c r="L145" i="3"/>
  <c r="H145" i="3"/>
  <c r="D145" i="3"/>
  <c r="B145" i="3"/>
  <c r="X144" i="3"/>
  <c r="Z144" i="3" s="1"/>
  <c r="N144" i="3"/>
  <c r="L144" i="3"/>
  <c r="B144" i="3"/>
  <c r="Z143" i="3"/>
  <c r="X143" i="3"/>
  <c r="N143" i="3"/>
  <c r="L143" i="3"/>
  <c r="B143" i="3"/>
  <c r="Z142" i="3"/>
  <c r="T142" i="3"/>
  <c r="P142" i="3"/>
  <c r="X142" i="3" s="1"/>
  <c r="L142" i="3"/>
  <c r="H142" i="3"/>
  <c r="D142" i="3"/>
  <c r="B142" i="3"/>
  <c r="Z141" i="3"/>
  <c r="X141" i="3"/>
  <c r="L141" i="3"/>
  <c r="N141" i="3" s="1"/>
  <c r="B141" i="3"/>
  <c r="X140" i="3"/>
  <c r="Z140" i="3" s="1"/>
  <c r="L140" i="3"/>
  <c r="N140" i="3" s="1"/>
  <c r="B140" i="3"/>
  <c r="X139" i="3"/>
  <c r="Z139" i="3" s="1"/>
  <c r="N139" i="3"/>
  <c r="L139" i="3"/>
  <c r="B139" i="3"/>
  <c r="Z138" i="3"/>
  <c r="X138" i="3"/>
  <c r="L138" i="3"/>
  <c r="N138" i="3" s="1"/>
  <c r="B138" i="3"/>
  <c r="X137" i="3"/>
  <c r="Z137" i="3" s="1"/>
  <c r="N137" i="3"/>
  <c r="L137" i="3"/>
  <c r="B137" i="3"/>
  <c r="T136" i="3"/>
  <c r="P136" i="3"/>
  <c r="X136" i="3" s="1"/>
  <c r="H136" i="3"/>
  <c r="D136" i="3"/>
  <c r="L136" i="3" s="1"/>
  <c r="N136" i="3" s="1"/>
  <c r="B136" i="3"/>
  <c r="Z135" i="3"/>
  <c r="X135" i="3"/>
  <c r="N135" i="3"/>
  <c r="L135" i="3"/>
  <c r="B135" i="3"/>
  <c r="Z134" i="3"/>
  <c r="X134" i="3"/>
  <c r="L134" i="3"/>
  <c r="N134" i="3" s="1"/>
  <c r="B134" i="3"/>
  <c r="Z133" i="3"/>
  <c r="X133" i="3"/>
  <c r="N133" i="3"/>
  <c r="L133" i="3"/>
  <c r="B133" i="3"/>
  <c r="X132" i="3"/>
  <c r="Z132" i="3" s="1"/>
  <c r="L132" i="3"/>
  <c r="N132" i="3" s="1"/>
  <c r="J132" i="3"/>
  <c r="B132" i="3"/>
  <c r="T131" i="3"/>
  <c r="Z131" i="3" s="1"/>
  <c r="P131" i="3"/>
  <c r="X131" i="3" s="1"/>
  <c r="H131" i="3"/>
  <c r="D131" i="3"/>
  <c r="L131" i="3" s="1"/>
  <c r="N131" i="3" s="1"/>
  <c r="B131" i="3"/>
  <c r="Z130" i="3"/>
  <c r="X130" i="3"/>
  <c r="L130" i="3"/>
  <c r="N130" i="3" s="1"/>
  <c r="B130" i="3"/>
  <c r="X129" i="3"/>
  <c r="Z129" i="3" s="1"/>
  <c r="N129" i="3"/>
  <c r="L129" i="3"/>
  <c r="J129" i="3"/>
  <c r="B129" i="3"/>
  <c r="Z128" i="3"/>
  <c r="X128" i="3"/>
  <c r="L128" i="3"/>
  <c r="N128" i="3" s="1"/>
  <c r="B128" i="3"/>
  <c r="Z127" i="3"/>
  <c r="X127" i="3"/>
  <c r="N127" i="3"/>
  <c r="L127" i="3"/>
  <c r="B127" i="3"/>
  <c r="T126" i="3"/>
  <c r="P126" i="3"/>
  <c r="H126" i="3"/>
  <c r="N126" i="3" s="1"/>
  <c r="D126" i="3"/>
  <c r="L126" i="3" s="1"/>
  <c r="B126" i="3"/>
  <c r="X125" i="3"/>
  <c r="Z125" i="3" s="1"/>
  <c r="N125" i="3"/>
  <c r="L125" i="3"/>
  <c r="B125" i="3"/>
  <c r="T124" i="3"/>
  <c r="P124" i="3"/>
  <c r="X124" i="3" s="1"/>
  <c r="H124" i="3"/>
  <c r="D124" i="3"/>
  <c r="L124" i="3" s="1"/>
  <c r="N124" i="3" s="1"/>
  <c r="B124" i="3"/>
  <c r="X123" i="3"/>
  <c r="Z123" i="3" s="1"/>
  <c r="N123" i="3"/>
  <c r="L123" i="3"/>
  <c r="B123" i="3"/>
  <c r="Z122" i="3"/>
  <c r="T122" i="3"/>
  <c r="P122" i="3"/>
  <c r="X122" i="3" s="1"/>
  <c r="L122" i="3"/>
  <c r="J122" i="3"/>
  <c r="H122" i="3"/>
  <c r="D122" i="3"/>
  <c r="B122" i="3"/>
  <c r="Z121" i="3"/>
  <c r="X121" i="3"/>
  <c r="N121" i="3"/>
  <c r="L121" i="3"/>
  <c r="B121" i="3"/>
  <c r="X120" i="3"/>
  <c r="T120" i="3"/>
  <c r="Z120" i="3" s="1"/>
  <c r="P120" i="3"/>
  <c r="H120" i="3"/>
  <c r="D120" i="3"/>
  <c r="B120" i="3"/>
  <c r="Z119" i="3"/>
  <c r="X119" i="3"/>
  <c r="N119" i="3"/>
  <c r="L119" i="3"/>
  <c r="B119" i="3"/>
  <c r="T118" i="3"/>
  <c r="P118" i="3"/>
  <c r="H118" i="3"/>
  <c r="D118" i="3"/>
  <c r="L118" i="3" s="1"/>
  <c r="B118" i="3"/>
  <c r="Z117" i="3"/>
  <c r="X117" i="3"/>
  <c r="N117" i="3"/>
  <c r="L117" i="3"/>
  <c r="B117" i="3"/>
  <c r="T116" i="3"/>
  <c r="Z116" i="3" s="1"/>
  <c r="P116" i="3"/>
  <c r="X116" i="3" s="1"/>
  <c r="N116" i="3"/>
  <c r="H116" i="3"/>
  <c r="D116" i="3"/>
  <c r="L116" i="3" s="1"/>
  <c r="B116" i="3"/>
  <c r="X115" i="3"/>
  <c r="Z115" i="3" s="1"/>
  <c r="N115" i="3"/>
  <c r="L115" i="3"/>
  <c r="B115" i="3"/>
  <c r="Z114" i="3"/>
  <c r="T114" i="3"/>
  <c r="P114" i="3"/>
  <c r="X114" i="3" s="1"/>
  <c r="L114" i="3"/>
  <c r="H114" i="3"/>
  <c r="N114" i="3" s="1"/>
  <c r="D114" i="3"/>
  <c r="B114" i="3"/>
  <c r="Z113" i="3"/>
  <c r="X113" i="3"/>
  <c r="N113" i="3"/>
  <c r="L113" i="3"/>
  <c r="B113" i="3"/>
  <c r="X112" i="3"/>
  <c r="Z112" i="3" s="1"/>
  <c r="N112" i="3"/>
  <c r="L112" i="3"/>
  <c r="B112" i="3"/>
  <c r="X111" i="3"/>
  <c r="Z111" i="3" s="1"/>
  <c r="N111" i="3"/>
  <c r="L111" i="3"/>
  <c r="B111" i="3"/>
  <c r="T110" i="3"/>
  <c r="P110" i="3"/>
  <c r="X110" i="3" s="1"/>
  <c r="Z110" i="3" s="1"/>
  <c r="L110" i="3"/>
  <c r="H110" i="3"/>
  <c r="D110" i="3"/>
  <c r="B110" i="3"/>
  <c r="Z109" i="3"/>
  <c r="X109" i="3"/>
  <c r="N109" i="3"/>
  <c r="L109" i="3"/>
  <c r="B109" i="3"/>
  <c r="X108" i="3"/>
  <c r="Z108" i="3" s="1"/>
  <c r="L108" i="3"/>
  <c r="N108" i="3" s="1"/>
  <c r="B108" i="3"/>
  <c r="X107" i="3"/>
  <c r="Z107" i="3" s="1"/>
  <c r="T107" i="3"/>
  <c r="P107" i="3"/>
  <c r="J107" i="3"/>
  <c r="H107" i="3"/>
  <c r="D107" i="3"/>
  <c r="L107" i="3" s="1"/>
  <c r="B107" i="3"/>
  <c r="X106" i="3"/>
  <c r="Z106" i="3" s="1"/>
  <c r="N106" i="3"/>
  <c r="L106" i="3"/>
  <c r="B106" i="3"/>
  <c r="T105" i="3"/>
  <c r="P105" i="3"/>
  <c r="H105" i="3"/>
  <c r="D105" i="3"/>
  <c r="L105" i="3" s="1"/>
  <c r="N105" i="3" s="1"/>
  <c r="B105" i="3"/>
  <c r="X104" i="3"/>
  <c r="Z104" i="3" s="1"/>
  <c r="L104" i="3"/>
  <c r="N104" i="3" s="1"/>
  <c r="B104" i="3"/>
  <c r="T103" i="3"/>
  <c r="P103" i="3"/>
  <c r="X103" i="3" s="1"/>
  <c r="Z103" i="3" s="1"/>
  <c r="L103" i="3"/>
  <c r="N103" i="3" s="1"/>
  <c r="H103" i="3"/>
  <c r="D103" i="3"/>
  <c r="B103" i="3"/>
  <c r="Z102" i="3"/>
  <c r="X102" i="3"/>
  <c r="L102" i="3"/>
  <c r="N102" i="3" s="1"/>
  <c r="B102" i="3"/>
  <c r="X101" i="3"/>
  <c r="Z101" i="3" s="1"/>
  <c r="T101" i="3"/>
  <c r="P101" i="3"/>
  <c r="L101" i="3"/>
  <c r="N101" i="3" s="1"/>
  <c r="H101" i="3"/>
  <c r="D101" i="3"/>
  <c r="B101" i="3"/>
  <c r="Z100" i="3"/>
  <c r="X100" i="3"/>
  <c r="N100" i="3"/>
  <c r="L100" i="3"/>
  <c r="B100" i="3"/>
  <c r="Z99" i="3"/>
  <c r="X99" i="3"/>
  <c r="N99" i="3"/>
  <c r="L99" i="3"/>
  <c r="B99" i="3"/>
  <c r="Z98" i="3"/>
  <c r="T98" i="3"/>
  <c r="P98" i="3"/>
  <c r="X98" i="3" s="1"/>
  <c r="N98" i="3"/>
  <c r="L98" i="3"/>
  <c r="J98" i="3"/>
  <c r="H98" i="3"/>
  <c r="D98" i="3"/>
  <c r="B98" i="3"/>
  <c r="Z97" i="3"/>
  <c r="X97" i="3"/>
  <c r="L97" i="3"/>
  <c r="N97" i="3" s="1"/>
  <c r="B97" i="3"/>
  <c r="Z96" i="3"/>
  <c r="X96" i="3"/>
  <c r="N96" i="3"/>
  <c r="L96" i="3"/>
  <c r="B96" i="3"/>
  <c r="Z95" i="3"/>
  <c r="X95" i="3"/>
  <c r="T95" i="3"/>
  <c r="P95" i="3"/>
  <c r="H95" i="3"/>
  <c r="D95" i="3"/>
  <c r="B95" i="3"/>
  <c r="X94" i="3"/>
  <c r="Z94" i="3" s="1"/>
  <c r="N94" i="3"/>
  <c r="L94" i="3"/>
  <c r="B94" i="3"/>
  <c r="T93" i="3"/>
  <c r="P93" i="3"/>
  <c r="H93" i="3"/>
  <c r="N93" i="3" s="1"/>
  <c r="D93" i="3"/>
  <c r="L93" i="3" s="1"/>
  <c r="B93" i="3"/>
  <c r="X92" i="3"/>
  <c r="Z92" i="3" s="1"/>
  <c r="L92" i="3"/>
  <c r="N92" i="3" s="1"/>
  <c r="B92" i="3"/>
  <c r="T91" i="3"/>
  <c r="Z91" i="3" s="1"/>
  <c r="P91" i="3"/>
  <c r="X91" i="3" s="1"/>
  <c r="H91" i="3"/>
  <c r="D91" i="3"/>
  <c r="L91" i="3" s="1"/>
  <c r="N91" i="3" s="1"/>
  <c r="B91" i="3"/>
  <c r="Z90" i="3"/>
  <c r="X90" i="3"/>
  <c r="L90" i="3"/>
  <c r="N90" i="3" s="1"/>
  <c r="B90" i="3"/>
  <c r="T89" i="3"/>
  <c r="P89" i="3"/>
  <c r="X89" i="3" s="1"/>
  <c r="Z89" i="3" s="1"/>
  <c r="N89" i="3"/>
  <c r="L89" i="3"/>
  <c r="H89" i="3"/>
  <c r="D89" i="3"/>
  <c r="B89" i="3"/>
  <c r="Z88" i="3"/>
  <c r="X88" i="3"/>
  <c r="N88" i="3"/>
  <c r="L88" i="3"/>
  <c r="B88" i="3"/>
  <c r="Z87" i="3"/>
  <c r="X87" i="3"/>
  <c r="N87" i="3"/>
  <c r="L87" i="3"/>
  <c r="B87" i="3"/>
  <c r="Z86" i="3"/>
  <c r="X86" i="3"/>
  <c r="L86" i="3"/>
  <c r="N86" i="3" s="1"/>
  <c r="B86" i="3"/>
  <c r="X85" i="3"/>
  <c r="Z85" i="3" s="1"/>
  <c r="L85" i="3"/>
  <c r="N85" i="3" s="1"/>
  <c r="B85" i="3"/>
  <c r="Z84" i="3"/>
  <c r="X84" i="3"/>
  <c r="N84" i="3"/>
  <c r="L84" i="3"/>
  <c r="B84" i="3"/>
  <c r="Z83" i="3"/>
  <c r="X83" i="3"/>
  <c r="L83" i="3"/>
  <c r="N83" i="3" s="1"/>
  <c r="B83" i="3"/>
  <c r="X82" i="3"/>
  <c r="Z82" i="3" s="1"/>
  <c r="N82" i="3"/>
  <c r="L82" i="3"/>
  <c r="J82" i="3"/>
  <c r="B82" i="3"/>
  <c r="Z81" i="3"/>
  <c r="X81" i="3"/>
  <c r="N81" i="3"/>
  <c r="L81" i="3"/>
  <c r="B81" i="3"/>
  <c r="X80" i="3"/>
  <c r="Z80" i="3" s="1"/>
  <c r="L80" i="3"/>
  <c r="N80" i="3" s="1"/>
  <c r="B80" i="3"/>
  <c r="X79" i="3"/>
  <c r="Z79" i="3" s="1"/>
  <c r="N79" i="3"/>
  <c r="L79" i="3"/>
  <c r="B79" i="3"/>
  <c r="X78" i="3"/>
  <c r="Z78" i="3" s="1"/>
  <c r="T78" i="3"/>
  <c r="P78" i="3"/>
  <c r="H78" i="3"/>
  <c r="D78" i="3"/>
  <c r="B78" i="3"/>
  <c r="X77" i="3"/>
  <c r="Z77" i="3" s="1"/>
  <c r="N77" i="3"/>
  <c r="L77" i="3"/>
  <c r="B77" i="3"/>
  <c r="Z76" i="3"/>
  <c r="X76" i="3"/>
  <c r="L76" i="3"/>
  <c r="N76" i="3" s="1"/>
  <c r="J76" i="3"/>
  <c r="B76" i="3"/>
  <c r="X75" i="3"/>
  <c r="Z75" i="3" s="1"/>
  <c r="L75" i="3"/>
  <c r="N75" i="3" s="1"/>
  <c r="B75" i="3"/>
  <c r="Z74" i="3"/>
  <c r="X74" i="3"/>
  <c r="N74" i="3"/>
  <c r="L74" i="3"/>
  <c r="B74" i="3"/>
  <c r="Z73" i="3"/>
  <c r="X73" i="3"/>
  <c r="N73" i="3"/>
  <c r="L73" i="3"/>
  <c r="B73" i="3"/>
  <c r="X72" i="3"/>
  <c r="Z72" i="3" s="1"/>
  <c r="N72" i="3"/>
  <c r="L72" i="3"/>
  <c r="B72" i="3"/>
  <c r="X71" i="3"/>
  <c r="Z71" i="3" s="1"/>
  <c r="L71" i="3"/>
  <c r="N71" i="3" s="1"/>
  <c r="B71" i="3"/>
  <c r="Z70" i="3"/>
  <c r="X70" i="3"/>
  <c r="L70" i="3"/>
  <c r="N70" i="3" s="1"/>
  <c r="B70" i="3"/>
  <c r="X69" i="3"/>
  <c r="Z69" i="3" s="1"/>
  <c r="N69" i="3"/>
  <c r="L69" i="3"/>
  <c r="B69" i="3"/>
  <c r="Z68" i="3"/>
  <c r="X68" i="3"/>
  <c r="L68" i="3"/>
  <c r="N68" i="3" s="1"/>
  <c r="J68" i="3"/>
  <c r="B68" i="3"/>
  <c r="T67" i="3"/>
  <c r="P67" i="3"/>
  <c r="X67" i="3" s="1"/>
  <c r="Z67" i="3" s="1"/>
  <c r="L67" i="3"/>
  <c r="H67" i="3"/>
  <c r="N67" i="3" s="1"/>
  <c r="D67" i="3"/>
  <c r="B67" i="3"/>
  <c r="T66" i="3" a="1"/>
  <c r="T66" i="3" s="1"/>
  <c r="P66" i="3" a="1"/>
  <c r="P66" i="3" s="1"/>
  <c r="X66" i="3" s="1"/>
  <c r="H66" i="3" a="1"/>
  <c r="H66" i="3" s="1"/>
  <c r="D66" i="3" a="1"/>
  <c r="D66" i="3" s="1"/>
  <c r="L66" i="3" s="1"/>
  <c r="Z62" i="3"/>
  <c r="X62" i="3"/>
  <c r="N62" i="3"/>
  <c r="L62" i="3"/>
  <c r="B62" i="3"/>
  <c r="Z61" i="3"/>
  <c r="X61" i="3"/>
  <c r="N61" i="3"/>
  <c r="L61" i="3"/>
  <c r="B61" i="3"/>
  <c r="Z60" i="3"/>
  <c r="X60" i="3"/>
  <c r="N60" i="3"/>
  <c r="L60" i="3"/>
  <c r="B60" i="3"/>
  <c r="Z59" i="3"/>
  <c r="X59" i="3"/>
  <c r="N59" i="3"/>
  <c r="L59" i="3"/>
  <c r="B59" i="3"/>
  <c r="Z58" i="3"/>
  <c r="X58" i="3"/>
  <c r="N58" i="3"/>
  <c r="L58" i="3"/>
  <c r="B58" i="3"/>
  <c r="Z57" i="3"/>
  <c r="X57" i="3"/>
  <c r="N57" i="3"/>
  <c r="L57" i="3"/>
  <c r="B57" i="3"/>
  <c r="Z56" i="3"/>
  <c r="X56" i="3"/>
  <c r="N56" i="3"/>
  <c r="L56" i="3"/>
  <c r="J56" i="3"/>
  <c r="B56" i="3"/>
  <c r="Z55" i="3"/>
  <c r="X55" i="3"/>
  <c r="N55" i="3"/>
  <c r="L55" i="3"/>
  <c r="J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B52" i="3"/>
  <c r="Z51" i="3"/>
  <c r="X51" i="3"/>
  <c r="N51" i="3"/>
  <c r="L51" i="3"/>
  <c r="B51" i="3"/>
  <c r="Z50" i="3"/>
  <c r="X50" i="3"/>
  <c r="N50" i="3"/>
  <c r="L50" i="3"/>
  <c r="B50" i="3"/>
  <c r="Z49" i="3"/>
  <c r="X49" i="3"/>
  <c r="N49" i="3"/>
  <c r="L49" i="3"/>
  <c r="B49" i="3"/>
  <c r="Z48" i="3"/>
  <c r="X48" i="3"/>
  <c r="N48" i="3"/>
  <c r="L48" i="3"/>
  <c r="J48" i="3"/>
  <c r="B48" i="3"/>
  <c r="Z47" i="3"/>
  <c r="X47" i="3"/>
  <c r="N47" i="3"/>
  <c r="L47" i="3"/>
  <c r="J47" i="3"/>
  <c r="B47" i="3"/>
  <c r="Z46" i="3"/>
  <c r="X46" i="3"/>
  <c r="N46" i="3"/>
  <c r="L46" i="3"/>
  <c r="B46" i="3"/>
  <c r="Z45" i="3"/>
  <c r="X45" i="3"/>
  <c r="N45" i="3"/>
  <c r="L45" i="3"/>
  <c r="B45" i="3"/>
  <c r="Z44" i="3"/>
  <c r="X44" i="3"/>
  <c r="N44" i="3"/>
  <c r="L44" i="3"/>
  <c r="B44" i="3"/>
  <c r="Z43" i="3"/>
  <c r="X43" i="3"/>
  <c r="N43" i="3"/>
  <c r="L43" i="3"/>
  <c r="B43" i="3"/>
  <c r="Z42" i="3"/>
  <c r="X42" i="3"/>
  <c r="N42" i="3"/>
  <c r="L42" i="3"/>
  <c r="B42" i="3"/>
  <c r="Z41" i="3"/>
  <c r="X41" i="3"/>
  <c r="N41" i="3"/>
  <c r="L41" i="3"/>
  <c r="B41" i="3"/>
  <c r="Z40" i="3"/>
  <c r="X40" i="3"/>
  <c r="N40" i="3"/>
  <c r="L40" i="3"/>
  <c r="J40" i="3"/>
  <c r="B40" i="3"/>
  <c r="Z39" i="3"/>
  <c r="X39" i="3"/>
  <c r="N39" i="3"/>
  <c r="L39" i="3"/>
  <c r="J39" i="3"/>
  <c r="B39" i="3"/>
  <c r="Z38" i="3"/>
  <c r="X38" i="3"/>
  <c r="N38" i="3"/>
  <c r="L38" i="3"/>
  <c r="B38" i="3"/>
  <c r="Z37" i="3"/>
  <c r="X37" i="3"/>
  <c r="N37" i="3"/>
  <c r="L37" i="3"/>
  <c r="J37" i="3"/>
  <c r="B37" i="3"/>
  <c r="Z36" i="3"/>
  <c r="X36" i="3"/>
  <c r="N36" i="3"/>
  <c r="L36" i="3"/>
  <c r="B36" i="3"/>
  <c r="Z35" i="3"/>
  <c r="X35" i="3"/>
  <c r="N35" i="3"/>
  <c r="L35" i="3"/>
  <c r="J35" i="3"/>
  <c r="B35" i="3"/>
  <c r="Z34" i="3"/>
  <c r="X34" i="3"/>
  <c r="N34" i="3"/>
  <c r="L34" i="3"/>
  <c r="B34" i="3"/>
  <c r="Z33" i="3"/>
  <c r="X33" i="3"/>
  <c r="N33" i="3"/>
  <c r="L33" i="3"/>
  <c r="B33" i="3"/>
  <c r="Z32" i="3"/>
  <c r="X32" i="3"/>
  <c r="N32" i="3"/>
  <c r="L32" i="3"/>
  <c r="J32" i="3"/>
  <c r="B32" i="3"/>
  <c r="Z31" i="3"/>
  <c r="X31" i="3"/>
  <c r="N31" i="3"/>
  <c r="L31" i="3"/>
  <c r="J31" i="3"/>
  <c r="B31" i="3"/>
  <c r="Z30" i="3"/>
  <c r="X30" i="3"/>
  <c r="N30" i="3"/>
  <c r="L30" i="3"/>
  <c r="J30" i="3"/>
  <c r="B30" i="3"/>
  <c r="Z29" i="3"/>
  <c r="X29" i="3"/>
  <c r="N29" i="3"/>
  <c r="L29" i="3"/>
  <c r="J29" i="3"/>
  <c r="B29" i="3"/>
  <c r="Z28" i="3"/>
  <c r="X28" i="3"/>
  <c r="L28" i="3"/>
  <c r="N28" i="3" s="1"/>
  <c r="B28" i="3"/>
  <c r="X27" i="3"/>
  <c r="T27" i="3"/>
  <c r="Z27" i="3" s="1"/>
  <c r="P27" i="3"/>
  <c r="H27" i="3"/>
  <c r="D27" i="3"/>
  <c r="L27" i="3" s="1"/>
  <c r="Z25" i="3"/>
  <c r="P25" i="3"/>
  <c r="X25" i="3" s="1"/>
  <c r="N25" i="3"/>
  <c r="D25" i="3"/>
  <c r="L25" i="3" s="1"/>
  <c r="B25" i="3"/>
  <c r="Z24" i="3"/>
  <c r="X24" i="3"/>
  <c r="P24" i="3"/>
  <c r="N24" i="3"/>
  <c r="L24" i="3"/>
  <c r="D24" i="3"/>
  <c r="B24" i="3"/>
  <c r="Z23" i="3"/>
  <c r="P23" i="3"/>
  <c r="X23" i="3" s="1"/>
  <c r="N23" i="3"/>
  <c r="L23" i="3"/>
  <c r="D23" i="3"/>
  <c r="B23" i="3"/>
  <c r="Z22" i="3"/>
  <c r="X22" i="3"/>
  <c r="P22" i="3"/>
  <c r="N22" i="3"/>
  <c r="D22" i="3"/>
  <c r="L22" i="3" s="1"/>
  <c r="B22" i="3"/>
  <c r="Z21" i="3"/>
  <c r="X21" i="3"/>
  <c r="P21" i="3"/>
  <c r="N21" i="3"/>
  <c r="L21" i="3"/>
  <c r="D21" i="3"/>
  <c r="B21" i="3"/>
  <c r="Z20" i="3"/>
  <c r="P20" i="3"/>
  <c r="P12" i="3" s="1"/>
  <c r="N20" i="3"/>
  <c r="D20" i="3"/>
  <c r="L20" i="3" s="1"/>
  <c r="B20" i="3"/>
  <c r="Z19" i="3"/>
  <c r="X19" i="3"/>
  <c r="P19" i="3"/>
  <c r="N19" i="3"/>
  <c r="L19" i="3"/>
  <c r="D19" i="3"/>
  <c r="B19" i="3"/>
  <c r="Z18" i="3"/>
  <c r="X18" i="3"/>
  <c r="P18" i="3"/>
  <c r="N18" i="3"/>
  <c r="L18" i="3"/>
  <c r="D18" i="3"/>
  <c r="B18" i="3"/>
  <c r="P17" i="3"/>
  <c r="X17" i="3" s="1"/>
  <c r="Z17" i="3" s="1"/>
  <c r="D17" i="3"/>
  <c r="D12" i="3" s="1"/>
  <c r="B17" i="3"/>
  <c r="Z16" i="3"/>
  <c r="X16" i="3"/>
  <c r="P16" i="3"/>
  <c r="N16" i="3"/>
  <c r="L16" i="3"/>
  <c r="D16" i="3"/>
  <c r="B16" i="3"/>
  <c r="Z15" i="3"/>
  <c r="P15" i="3"/>
  <c r="X15" i="3" s="1"/>
  <c r="N15" i="3"/>
  <c r="L15" i="3"/>
  <c r="D15" i="3"/>
  <c r="B15" i="3"/>
  <c r="Z14" i="3"/>
  <c r="X14" i="3"/>
  <c r="P14" i="3"/>
  <c r="N14" i="3"/>
  <c r="D14" i="3"/>
  <c r="L14" i="3" s="1"/>
  <c r="B14" i="3"/>
  <c r="X13" i="3"/>
  <c r="Z13" i="3" s="1"/>
  <c r="P13" i="3"/>
  <c r="L13" i="3"/>
  <c r="N13" i="3" s="1"/>
  <c r="D13" i="3"/>
  <c r="B13" i="3"/>
  <c r="T12" i="3"/>
  <c r="V141" i="3" s="1"/>
  <c r="H12" i="3"/>
  <c r="J176" i="3" s="1"/>
  <c r="D4" i="3"/>
  <c r="X25" i="23" l="1"/>
  <c r="X33" i="23"/>
  <c r="L16" i="24"/>
  <c r="L15" i="47"/>
  <c r="X13" i="93"/>
  <c r="X29" i="95"/>
  <c r="X34" i="95"/>
  <c r="L22" i="23"/>
  <c r="X25" i="33"/>
  <c r="X33" i="33"/>
  <c r="L15" i="35"/>
  <c r="L16" i="4"/>
  <c r="X22" i="4"/>
  <c r="L25" i="5"/>
  <c r="L33" i="5"/>
  <c r="X24" i="7"/>
  <c r="L29" i="8"/>
  <c r="L34" i="8"/>
  <c r="X15" i="4"/>
  <c r="X34" i="4"/>
  <c r="X34" i="13"/>
  <c r="X21" i="22"/>
  <c r="X22" i="29"/>
  <c r="X21" i="95"/>
  <c r="X15" i="32"/>
  <c r="L15" i="13"/>
  <c r="X21" i="13"/>
  <c r="L29" i="13"/>
  <c r="L16" i="10"/>
  <c r="X29" i="52"/>
  <c r="X34" i="52"/>
  <c r="X29" i="19"/>
  <c r="L15" i="43"/>
  <c r="L33" i="46"/>
  <c r="X20" i="47"/>
  <c r="X15" i="50"/>
  <c r="L20" i="19"/>
  <c r="L15" i="20"/>
  <c r="L13" i="23"/>
  <c r="X21" i="32"/>
  <c r="L29" i="32"/>
  <c r="X24" i="35"/>
  <c r="X33" i="52"/>
  <c r="L16" i="53"/>
  <c r="X29" i="32"/>
  <c r="X15" i="17"/>
  <c r="L33" i="95"/>
  <c r="X34" i="93"/>
  <c r="L15" i="94"/>
  <c r="L29" i="94"/>
  <c r="L25" i="27"/>
  <c r="X34" i="40"/>
  <c r="X16" i="8"/>
  <c r="X13" i="10"/>
  <c r="X25" i="17"/>
  <c r="X33" i="17"/>
  <c r="X22" i="19"/>
  <c r="L25" i="20"/>
  <c r="X13" i="29"/>
  <c r="X20" i="33"/>
  <c r="L22" i="33"/>
  <c r="L34" i="50"/>
  <c r="X21" i="52"/>
  <c r="L29" i="52"/>
  <c r="L20" i="4"/>
  <c r="X22" i="7"/>
  <c r="L25" i="8"/>
  <c r="X24" i="13"/>
  <c r="L25" i="40"/>
  <c r="X15" i="41"/>
  <c r="X29" i="41"/>
  <c r="X34" i="41"/>
  <c r="X20" i="95"/>
  <c r="L33" i="4"/>
  <c r="X20" i="5"/>
  <c r="L16" i="41"/>
  <c r="X29" i="13"/>
  <c r="L20" i="14"/>
  <c r="L34" i="14"/>
  <c r="X20" i="8"/>
  <c r="X34" i="8"/>
  <c r="L34" i="17"/>
  <c r="X16" i="19"/>
  <c r="X20" i="22"/>
  <c r="L22" i="22"/>
  <c r="X29" i="23"/>
  <c r="L34" i="29"/>
  <c r="X16" i="30"/>
  <c r="L21" i="32"/>
  <c r="X25" i="37"/>
  <c r="X24" i="50"/>
  <c r="L15" i="53"/>
  <c r="X21" i="53"/>
  <c r="L34" i="53"/>
  <c r="X20" i="93"/>
  <c r="L22" i="93"/>
  <c r="L24" i="7"/>
  <c r="X13" i="8"/>
  <c r="L21" i="8"/>
  <c r="L25" i="10"/>
  <c r="L33" i="10"/>
  <c r="X20" i="11"/>
  <c r="X24" i="32"/>
  <c r="X21" i="33"/>
  <c r="L29" i="33"/>
  <c r="X24" i="37"/>
  <c r="X21" i="38"/>
  <c r="L20" i="44"/>
  <c r="X24" i="44"/>
  <c r="X22" i="47"/>
  <c r="L16" i="49"/>
  <c r="X22" i="49"/>
  <c r="L13" i="50"/>
  <c r="L13" i="52"/>
  <c r="X13" i="14"/>
  <c r="L16" i="7"/>
  <c r="L20" i="13"/>
  <c r="X29" i="30"/>
  <c r="X29" i="14"/>
  <c r="L21" i="5"/>
  <c r="L29" i="10"/>
  <c r="L34" i="10"/>
  <c r="X16" i="11"/>
  <c r="L24" i="11"/>
  <c r="X25" i="13"/>
  <c r="L13" i="14"/>
  <c r="X21" i="16"/>
  <c r="L15" i="24"/>
  <c r="X21" i="24"/>
  <c r="L29" i="24"/>
  <c r="L22" i="26"/>
  <c r="X16" i="29"/>
  <c r="L24" i="29"/>
  <c r="L21" i="30"/>
  <c r="X25" i="30"/>
  <c r="X33" i="30"/>
  <c r="L25" i="32"/>
  <c r="L33" i="32"/>
  <c r="X15" i="33"/>
  <c r="X34" i="33"/>
  <c r="L25" i="35"/>
  <c r="L33" i="35"/>
  <c r="X22" i="40"/>
  <c r="X20" i="41"/>
  <c r="L13" i="43"/>
  <c r="X15" i="44"/>
  <c r="X13" i="47"/>
  <c r="L16" i="50"/>
  <c r="L16" i="14"/>
  <c r="L29" i="14"/>
  <c r="L25" i="16"/>
  <c r="L21" i="22"/>
  <c r="X13" i="4"/>
  <c r="L21" i="4"/>
  <c r="X15" i="7"/>
  <c r="X34" i="7"/>
  <c r="X24" i="8"/>
  <c r="X25" i="11"/>
  <c r="X33" i="11"/>
  <c r="X22" i="13"/>
  <c r="L22" i="14"/>
  <c r="L24" i="16"/>
  <c r="X33" i="16"/>
  <c r="X20" i="20"/>
  <c r="L22" i="20"/>
  <c r="X13" i="23"/>
  <c r="X15" i="29"/>
  <c r="L20" i="30"/>
  <c r="L34" i="30"/>
  <c r="X16" i="32"/>
  <c r="L16" i="33"/>
  <c r="X16" i="35"/>
  <c r="L33" i="37"/>
  <c r="L22" i="38"/>
  <c r="X33" i="40"/>
  <c r="L13" i="41"/>
  <c r="L33" i="41"/>
  <c r="L29" i="46"/>
  <c r="L34" i="46"/>
  <c r="L24" i="49"/>
  <c r="L21" i="50"/>
  <c r="L22" i="53"/>
  <c r="X34" i="53"/>
  <c r="L13" i="93"/>
  <c r="L15" i="95"/>
  <c r="L24" i="95"/>
  <c r="X33" i="13"/>
  <c r="L21" i="14"/>
  <c r="X29" i="47"/>
  <c r="X24" i="52"/>
  <c r="X20" i="32"/>
  <c r="L20" i="43"/>
  <c r="X24" i="23"/>
  <c r="F31" i="35"/>
  <c r="X20" i="40"/>
  <c r="V20" i="40"/>
  <c r="X21" i="4"/>
  <c r="L29" i="4"/>
  <c r="X16" i="5"/>
  <c r="L24" i="5"/>
  <c r="L15" i="10"/>
  <c r="X21" i="10"/>
  <c r="L24" i="10"/>
  <c r="X22" i="11"/>
  <c r="L13" i="13"/>
  <c r="L25" i="13"/>
  <c r="L13" i="17"/>
  <c r="X21" i="19"/>
  <c r="L21" i="26"/>
  <c r="X22" i="27"/>
  <c r="X24" i="29"/>
  <c r="L29" i="30"/>
  <c r="X13" i="32"/>
  <c r="L22" i="35"/>
  <c r="L29" i="37"/>
  <c r="X25" i="38"/>
  <c r="X33" i="38"/>
  <c r="L20" i="40"/>
  <c r="X21" i="40"/>
  <c r="L34" i="40"/>
  <c r="X29" i="46"/>
  <c r="X34" i="46"/>
  <c r="X24" i="47"/>
  <c r="X21" i="50"/>
  <c r="L24" i="52"/>
  <c r="L25" i="53"/>
  <c r="X16" i="16"/>
  <c r="X21" i="20"/>
  <c r="L24" i="20"/>
  <c r="L24" i="94"/>
  <c r="X20" i="4"/>
  <c r="X34" i="5"/>
  <c r="L21" i="7"/>
  <c r="X25" i="7"/>
  <c r="X33" i="7"/>
  <c r="L16" i="8"/>
  <c r="X22" i="8"/>
  <c r="L22" i="10"/>
  <c r="L29" i="11"/>
  <c r="L34" i="11"/>
  <c r="X16" i="13"/>
  <c r="L20" i="16"/>
  <c r="X16" i="17"/>
  <c r="L24" i="17"/>
  <c r="L16" i="19"/>
  <c r="L29" i="20"/>
  <c r="L34" i="20"/>
  <c r="L33" i="22"/>
  <c r="L29" i="23"/>
  <c r="X33" i="24"/>
  <c r="X21" i="27"/>
  <c r="X34" i="30"/>
  <c r="L24" i="32"/>
  <c r="L13" i="37"/>
  <c r="X22" i="46"/>
  <c r="L13" i="49"/>
  <c r="X20" i="50"/>
  <c r="L22" i="50"/>
  <c r="X22" i="93"/>
  <c r="L20" i="94"/>
  <c r="L22" i="11"/>
  <c r="X29" i="11"/>
  <c r="X20" i="16"/>
  <c r="X25" i="22"/>
  <c r="L29" i="27"/>
  <c r="X25" i="29"/>
  <c r="X22" i="37"/>
  <c r="L21" i="47"/>
  <c r="F25" i="50"/>
  <c r="V22" i="93"/>
  <c r="L29" i="95"/>
  <c r="X24" i="17"/>
  <c r="L12" i="19"/>
  <c r="L24" i="33"/>
  <c r="X16" i="10"/>
  <c r="L16" i="11"/>
  <c r="L22" i="13"/>
  <c r="X22" i="16"/>
  <c r="F18" i="19"/>
  <c r="R15" i="24"/>
  <c r="J25" i="38"/>
  <c r="L33" i="44"/>
  <c r="X21" i="49"/>
  <c r="L33" i="52"/>
  <c r="L20" i="93"/>
  <c r="L22" i="16"/>
  <c r="Z34" i="22"/>
  <c r="X34" i="22"/>
  <c r="V36" i="30"/>
  <c r="V15" i="30"/>
  <c r="R34" i="27"/>
  <c r="X12" i="27"/>
  <c r="X22" i="33"/>
  <c r="J22" i="7"/>
  <c r="L25" i="14"/>
  <c r="X29" i="17"/>
  <c r="L15" i="16"/>
  <c r="X20" i="17"/>
  <c r="L22" i="17"/>
  <c r="X22" i="14"/>
  <c r="L13" i="19"/>
  <c r="V34" i="22"/>
  <c r="V20" i="22"/>
  <c r="V33" i="22"/>
  <c r="Z12" i="22"/>
  <c r="X33" i="19"/>
  <c r="X13" i="20"/>
  <c r="L20" i="23"/>
  <c r="F16" i="26"/>
  <c r="T18" i="27"/>
  <c r="T27" i="27" s="1"/>
  <c r="X29" i="35"/>
  <c r="L21" i="43"/>
  <c r="R36" i="43"/>
  <c r="N24" i="94"/>
  <c r="X24" i="19"/>
  <c r="L29" i="19"/>
  <c r="L34" i="19"/>
  <c r="L24" i="22"/>
  <c r="X33" i="22"/>
  <c r="J36" i="22"/>
  <c r="L33" i="24"/>
  <c r="X22" i="26"/>
  <c r="X15" i="27"/>
  <c r="L20" i="27"/>
  <c r="X24" i="27"/>
  <c r="L13" i="29"/>
  <c r="X20" i="29"/>
  <c r="L22" i="29"/>
  <c r="X29" i="29"/>
  <c r="L24" i="30"/>
  <c r="L22" i="32"/>
  <c r="X16" i="33"/>
  <c r="L25" i="33"/>
  <c r="X22" i="35"/>
  <c r="X34" i="35"/>
  <c r="L33" i="38"/>
  <c r="X16" i="40"/>
  <c r="L21" i="40"/>
  <c r="L20" i="41"/>
  <c r="X24" i="41"/>
  <c r="X25" i="43"/>
  <c r="L22" i="44"/>
  <c r="X16" i="46"/>
  <c r="X25" i="46"/>
  <c r="L16" i="47"/>
  <c r="L22" i="47"/>
  <c r="X34" i="47"/>
  <c r="X24" i="49"/>
  <c r="X16" i="50"/>
  <c r="L24" i="50"/>
  <c r="X25" i="50"/>
  <c r="X33" i="50"/>
  <c r="X13" i="52"/>
  <c r="L21" i="52"/>
  <c r="L25" i="52"/>
  <c r="Z12" i="93"/>
  <c r="L34" i="93"/>
  <c r="L16" i="94"/>
  <c r="L22" i="94"/>
  <c r="X24" i="94"/>
  <c r="X12" i="33"/>
  <c r="V22" i="35"/>
  <c r="L21" i="38"/>
  <c r="R15" i="43"/>
  <c r="V27" i="43"/>
  <c r="X22" i="94"/>
  <c r="L21" i="24"/>
  <c r="R18" i="35"/>
  <c r="L22" i="41"/>
  <c r="X25" i="44"/>
  <c r="X24" i="46"/>
  <c r="X16" i="94"/>
  <c r="R22" i="94"/>
  <c r="L33" i="94"/>
  <c r="X15" i="95"/>
  <c r="X24" i="95"/>
  <c r="N12" i="29"/>
  <c r="L20" i="33"/>
  <c r="L20" i="35"/>
  <c r="L16" i="37"/>
  <c r="X29" i="37"/>
  <c r="L13" i="46"/>
  <c r="L22" i="46"/>
  <c r="L20" i="47"/>
  <c r="X13" i="53"/>
  <c r="L25" i="23"/>
  <c r="X24" i="24"/>
  <c r="X24" i="26"/>
  <c r="X13" i="30"/>
  <c r="L33" i="30"/>
  <c r="R25" i="32"/>
  <c r="X33" i="32"/>
  <c r="L13" i="33"/>
  <c r="L29" i="35"/>
  <c r="X13" i="37"/>
  <c r="X15" i="38"/>
  <c r="L22" i="40"/>
  <c r="X13" i="41"/>
  <c r="V20" i="43"/>
  <c r="X34" i="43"/>
  <c r="L15" i="44"/>
  <c r="X21" i="44"/>
  <c r="L34" i="44"/>
  <c r="X15" i="47"/>
  <c r="X21" i="47"/>
  <c r="L29" i="47"/>
  <c r="L34" i="47"/>
  <c r="X13" i="49"/>
  <c r="X33" i="49"/>
  <c r="L22" i="52"/>
  <c r="L24" i="53"/>
  <c r="X21" i="94"/>
  <c r="X25" i="94"/>
  <c r="F16" i="33"/>
  <c r="X24" i="5"/>
  <c r="F29" i="7"/>
  <c r="F16" i="11"/>
  <c r="F29" i="19"/>
  <c r="V34" i="19"/>
  <c r="X12" i="23"/>
  <c r="X16" i="23"/>
  <c r="R25" i="23"/>
  <c r="L20" i="24"/>
  <c r="J24" i="24"/>
  <c r="L25" i="24"/>
  <c r="X13" i="26"/>
  <c r="L24" i="26"/>
  <c r="R15" i="27"/>
  <c r="V33" i="27"/>
  <c r="F20" i="30"/>
  <c r="X34" i="32"/>
  <c r="R18" i="37"/>
  <c r="X16" i="38"/>
  <c r="L15" i="40"/>
  <c r="N22" i="41"/>
  <c r="L29" i="43"/>
  <c r="X33" i="43"/>
  <c r="X29" i="49"/>
  <c r="F15" i="50"/>
  <c r="L33" i="50"/>
  <c r="L15" i="52"/>
  <c r="F15" i="93"/>
  <c r="F18" i="94"/>
  <c r="V20" i="94"/>
  <c r="L16" i="95"/>
  <c r="R20" i="95"/>
  <c r="R33" i="95"/>
  <c r="V15" i="7"/>
  <c r="V18" i="7"/>
  <c r="X33" i="14"/>
  <c r="L21" i="17"/>
  <c r="L15" i="19"/>
  <c r="F16" i="19"/>
  <c r="F20" i="19"/>
  <c r="F25" i="19"/>
  <c r="V16" i="22"/>
  <c r="L25" i="22"/>
  <c r="Z16" i="23"/>
  <c r="R24" i="23"/>
  <c r="X34" i="23"/>
  <c r="X25" i="24"/>
  <c r="Z12" i="26"/>
  <c r="N24" i="26"/>
  <c r="F15" i="33"/>
  <c r="J34" i="38"/>
  <c r="Z12" i="40"/>
  <c r="X15" i="40"/>
  <c r="V18" i="40"/>
  <c r="F18" i="41"/>
  <c r="F24" i="44"/>
  <c r="J22" i="46"/>
  <c r="L20" i="52"/>
  <c r="V20" i="93"/>
  <c r="L24" i="93"/>
  <c r="R18" i="94"/>
  <c r="V20" i="23"/>
  <c r="L24" i="4"/>
  <c r="X29" i="7"/>
  <c r="F16" i="10"/>
  <c r="Z16" i="16"/>
  <c r="L33" i="16"/>
  <c r="V18" i="17"/>
  <c r="Z12" i="19"/>
  <c r="F15" i="19"/>
  <c r="Z33" i="19"/>
  <c r="L20" i="20"/>
  <c r="H18" i="22"/>
  <c r="H27" i="22" s="1"/>
  <c r="R18" i="23"/>
  <c r="R24" i="24"/>
  <c r="F33" i="30"/>
  <c r="X29" i="40"/>
  <c r="R22" i="41"/>
  <c r="X15" i="43"/>
  <c r="V16" i="43"/>
  <c r="R22" i="43"/>
  <c r="L25" i="43"/>
  <c r="X29" i="43"/>
  <c r="L13" i="44"/>
  <c r="F20" i="44"/>
  <c r="X15" i="46"/>
  <c r="F36" i="50"/>
  <c r="X15" i="93"/>
  <c r="F18" i="93"/>
  <c r="F24" i="93"/>
  <c r="Z12" i="94"/>
  <c r="L21" i="94"/>
  <c r="X16" i="95"/>
  <c r="L22" i="95"/>
  <c r="R16" i="52"/>
  <c r="V36" i="4"/>
  <c r="X22" i="5"/>
  <c r="F25" i="7"/>
  <c r="V29" i="8"/>
  <c r="J22" i="11"/>
  <c r="V22" i="16"/>
  <c r="L33" i="20"/>
  <c r="X13" i="22"/>
  <c r="V22" i="22"/>
  <c r="L21" i="23"/>
  <c r="V34" i="23"/>
  <c r="L12" i="24"/>
  <c r="V27" i="24"/>
  <c r="R36" i="24"/>
  <c r="L13" i="26"/>
  <c r="X16" i="26"/>
  <c r="L12" i="27"/>
  <c r="V25" i="27"/>
  <c r="V31" i="27"/>
  <c r="F16" i="30"/>
  <c r="F22" i="33"/>
  <c r="F22" i="35"/>
  <c r="J27" i="38"/>
  <c r="R21" i="41"/>
  <c r="L25" i="46"/>
  <c r="N12" i="49"/>
  <c r="F24" i="52"/>
  <c r="X25" i="52"/>
  <c r="L13" i="53"/>
  <c r="X20" i="53"/>
  <c r="R18" i="93"/>
  <c r="V33" i="4"/>
  <c r="P18" i="5"/>
  <c r="P27" i="5" s="1"/>
  <c r="F24" i="7"/>
  <c r="J15" i="10"/>
  <c r="X15" i="11"/>
  <c r="L16" i="13"/>
  <c r="J15" i="19"/>
  <c r="Z29" i="19"/>
  <c r="F24" i="20"/>
  <c r="F16" i="23"/>
  <c r="R33" i="23"/>
  <c r="X22" i="24"/>
  <c r="N12" i="27"/>
  <c r="V27" i="27"/>
  <c r="L33" i="27"/>
  <c r="L34" i="32"/>
  <c r="F18" i="33"/>
  <c r="N12" i="35"/>
  <c r="J16" i="35"/>
  <c r="L34" i="37"/>
  <c r="L29" i="38"/>
  <c r="L13" i="40"/>
  <c r="L16" i="40"/>
  <c r="X21" i="43"/>
  <c r="J31" i="43"/>
  <c r="X13" i="44"/>
  <c r="L29" i="44"/>
  <c r="L20" i="46"/>
  <c r="X16" i="47"/>
  <c r="L25" i="47"/>
  <c r="R20" i="52"/>
  <c r="X24" i="93"/>
  <c r="R18" i="95"/>
  <c r="X22" i="95"/>
  <c r="R24" i="41"/>
  <c r="L15" i="4"/>
  <c r="L34" i="4"/>
  <c r="L12" i="7"/>
  <c r="F33" i="7"/>
  <c r="L20" i="11"/>
  <c r="V18" i="14"/>
  <c r="Z29" i="14"/>
  <c r="V31" i="19"/>
  <c r="F22" i="20"/>
  <c r="R18" i="26"/>
  <c r="J22" i="27"/>
  <c r="V34" i="27"/>
  <c r="R18" i="29"/>
  <c r="X33" i="29"/>
  <c r="X22" i="30"/>
  <c r="F29" i="30"/>
  <c r="R29" i="32"/>
  <c r="F21" i="33"/>
  <c r="F34" i="35"/>
  <c r="F22" i="37"/>
  <c r="L15" i="38"/>
  <c r="V25" i="40"/>
  <c r="L33" i="40"/>
  <c r="R20" i="41"/>
  <c r="V31" i="43"/>
  <c r="F16" i="44"/>
  <c r="R15" i="47"/>
  <c r="L16" i="93"/>
  <c r="R22" i="93"/>
  <c r="R21" i="94"/>
  <c r="Z12" i="4"/>
  <c r="F15" i="4"/>
  <c r="X16" i="4"/>
  <c r="F21" i="4"/>
  <c r="F22" i="4"/>
  <c r="N16" i="7"/>
  <c r="L13" i="8"/>
  <c r="V15" i="8"/>
  <c r="L20" i="8"/>
  <c r="X21" i="8"/>
  <c r="V25" i="8"/>
  <c r="X15" i="10"/>
  <c r="F20" i="11"/>
  <c r="L33" i="13"/>
  <c r="X15" i="14"/>
  <c r="X25" i="14"/>
  <c r="L33" i="14"/>
  <c r="X34" i="14"/>
  <c r="X13" i="16"/>
  <c r="L16" i="16"/>
  <c r="L29" i="16"/>
  <c r="L34" i="16"/>
  <c r="X13" i="17"/>
  <c r="L16" i="17"/>
  <c r="X15" i="19"/>
  <c r="V16" i="19"/>
  <c r="V27" i="19"/>
  <c r="L33" i="19"/>
  <c r="X34" i="19"/>
  <c r="X16" i="20"/>
  <c r="R33" i="20"/>
  <c r="L15" i="22"/>
  <c r="L29" i="22"/>
  <c r="L15" i="23"/>
  <c r="L24" i="23"/>
  <c r="R29" i="23"/>
  <c r="X15" i="24"/>
  <c r="N21" i="24"/>
  <c r="N12" i="26"/>
  <c r="L16" i="26"/>
  <c r="L20" i="26"/>
  <c r="R36" i="27"/>
  <c r="L16" i="29"/>
  <c r="L20" i="29"/>
  <c r="R33" i="29"/>
  <c r="R22" i="30"/>
  <c r="L25" i="30"/>
  <c r="J34" i="32"/>
  <c r="X13" i="33"/>
  <c r="X29" i="33"/>
  <c r="L25" i="37"/>
  <c r="F15" i="38"/>
  <c r="L12" i="40"/>
  <c r="L29" i="40"/>
  <c r="F33" i="40"/>
  <c r="X16" i="41"/>
  <c r="L16" i="43"/>
  <c r="X24" i="43"/>
  <c r="J27" i="43"/>
  <c r="X22" i="44"/>
  <c r="X29" i="44"/>
  <c r="X20" i="46"/>
  <c r="X33" i="46"/>
  <c r="V18" i="47"/>
  <c r="X25" i="47"/>
  <c r="X33" i="47"/>
  <c r="L29" i="49"/>
  <c r="X29" i="50"/>
  <c r="X22" i="53"/>
  <c r="F16" i="93"/>
  <c r="X13" i="94"/>
  <c r="X33" i="94"/>
  <c r="L13" i="95"/>
  <c r="X25" i="95"/>
  <c r="R36" i="95"/>
  <c r="X16" i="7"/>
  <c r="L24" i="13"/>
  <c r="F21" i="14"/>
  <c r="J34" i="17"/>
  <c r="V29" i="4"/>
  <c r="F36" i="4"/>
  <c r="X13" i="5"/>
  <c r="L16" i="5"/>
  <c r="R18" i="5"/>
  <c r="R29" i="5"/>
  <c r="N12" i="7"/>
  <c r="R16" i="7"/>
  <c r="L33" i="8"/>
  <c r="L13" i="10"/>
  <c r="X20" i="10"/>
  <c r="X22" i="10"/>
  <c r="J15" i="11"/>
  <c r="X21" i="11"/>
  <c r="R24" i="11"/>
  <c r="J36" i="11"/>
  <c r="F15" i="13"/>
  <c r="F22" i="13"/>
  <c r="F24" i="13"/>
  <c r="L34" i="13"/>
  <c r="L15" i="14"/>
  <c r="J36" i="14"/>
  <c r="P18" i="16"/>
  <c r="P27" i="16" s="1"/>
  <c r="J24" i="17"/>
  <c r="J25" i="17"/>
  <c r="J29" i="17"/>
  <c r="J33" i="17"/>
  <c r="D18" i="19"/>
  <c r="F21" i="19"/>
  <c r="F31" i="19"/>
  <c r="V33" i="19"/>
  <c r="N20" i="20"/>
  <c r="V15" i="22"/>
  <c r="J27" i="22"/>
  <c r="J31" i="22"/>
  <c r="V18" i="23"/>
  <c r="V22" i="23"/>
  <c r="R16" i="24"/>
  <c r="J21" i="24"/>
  <c r="J27" i="24"/>
  <c r="R29" i="24"/>
  <c r="F34" i="24"/>
  <c r="F36" i="24"/>
  <c r="X12" i="26"/>
  <c r="V20" i="26"/>
  <c r="L25" i="26"/>
  <c r="L16" i="27"/>
  <c r="X24" i="30"/>
  <c r="F18" i="37"/>
  <c r="X33" i="44"/>
  <c r="J20" i="47"/>
  <c r="J22" i="47"/>
  <c r="N12" i="47"/>
  <c r="R18" i="50"/>
  <c r="R21" i="50"/>
  <c r="L34" i="52"/>
  <c r="F18" i="53"/>
  <c r="F21" i="53"/>
  <c r="J24" i="95"/>
  <c r="F33" i="8"/>
  <c r="R18" i="16"/>
  <c r="J22" i="17"/>
  <c r="J20" i="30"/>
  <c r="J24" i="30"/>
  <c r="J21" i="30"/>
  <c r="N12" i="30"/>
  <c r="H18" i="30"/>
  <c r="V20" i="38"/>
  <c r="V36" i="38"/>
  <c r="V25" i="38"/>
  <c r="V33" i="38"/>
  <c r="T18" i="38"/>
  <c r="Z18" i="38" s="1"/>
  <c r="X24" i="4"/>
  <c r="V25" i="4"/>
  <c r="F33" i="4"/>
  <c r="X12" i="5"/>
  <c r="L15" i="5"/>
  <c r="J16" i="5"/>
  <c r="R24" i="5"/>
  <c r="R25" i="5"/>
  <c r="J31" i="5"/>
  <c r="L34" i="5"/>
  <c r="F15" i="7"/>
  <c r="L20" i="7"/>
  <c r="F18" i="8"/>
  <c r="R21" i="8"/>
  <c r="L13" i="11"/>
  <c r="V21" i="11"/>
  <c r="F27" i="11"/>
  <c r="J15" i="14"/>
  <c r="X16" i="14"/>
  <c r="X20" i="14"/>
  <c r="X21" i="14"/>
  <c r="R27" i="14"/>
  <c r="F22" i="16"/>
  <c r="X34" i="16"/>
  <c r="N12" i="17"/>
  <c r="R25" i="17"/>
  <c r="R29" i="17"/>
  <c r="X34" i="17"/>
  <c r="H18" i="19"/>
  <c r="H27" i="19" s="1"/>
  <c r="J21" i="19"/>
  <c r="F22" i="19"/>
  <c r="F36" i="19"/>
  <c r="L16" i="20"/>
  <c r="F18" i="20"/>
  <c r="R20" i="20"/>
  <c r="R21" i="20"/>
  <c r="R29" i="20"/>
  <c r="P18" i="22"/>
  <c r="L34" i="22"/>
  <c r="R36" i="22"/>
  <c r="N12" i="23"/>
  <c r="R15" i="23"/>
  <c r="F20" i="23"/>
  <c r="F22" i="23"/>
  <c r="F27" i="23"/>
  <c r="F31" i="23"/>
  <c r="R36" i="23"/>
  <c r="N12" i="24"/>
  <c r="D18" i="24"/>
  <c r="D27" i="24" s="1"/>
  <c r="D31" i="24" s="1"/>
  <c r="V29" i="24"/>
  <c r="J34" i="24"/>
  <c r="V36" i="24"/>
  <c r="X34" i="27"/>
  <c r="Z34" i="27"/>
  <c r="L12" i="30"/>
  <c r="L15" i="32"/>
  <c r="V27" i="35"/>
  <c r="L25" i="38"/>
  <c r="X22" i="50"/>
  <c r="X16" i="52"/>
  <c r="Z16" i="52"/>
  <c r="L21" i="93"/>
  <c r="X34" i="94"/>
  <c r="J15" i="17"/>
  <c r="J21" i="17"/>
  <c r="F36" i="49"/>
  <c r="F18" i="49"/>
  <c r="V22" i="50"/>
  <c r="T18" i="50"/>
  <c r="T27" i="50" s="1"/>
  <c r="V25" i="50"/>
  <c r="V15" i="50"/>
  <c r="V29" i="50"/>
  <c r="V33" i="50"/>
  <c r="V36" i="50"/>
  <c r="J27" i="53"/>
  <c r="H18" i="53"/>
  <c r="N18" i="53" s="1"/>
  <c r="J15" i="53"/>
  <c r="J25" i="53"/>
  <c r="V16" i="4"/>
  <c r="V20" i="4"/>
  <c r="Z12" i="5"/>
  <c r="D18" i="7"/>
  <c r="D27" i="7" s="1"/>
  <c r="R24" i="7"/>
  <c r="V25" i="7"/>
  <c r="V29" i="7"/>
  <c r="V33" i="7"/>
  <c r="F36" i="7"/>
  <c r="R18" i="8"/>
  <c r="V22" i="8"/>
  <c r="F29" i="8"/>
  <c r="H18" i="10"/>
  <c r="H27" i="10" s="1"/>
  <c r="F24" i="10"/>
  <c r="J25" i="10"/>
  <c r="J29" i="10"/>
  <c r="J33" i="10"/>
  <c r="R27" i="11"/>
  <c r="F31" i="11"/>
  <c r="R16" i="13"/>
  <c r="X20" i="13"/>
  <c r="N12" i="14"/>
  <c r="J16" i="16"/>
  <c r="L21" i="16"/>
  <c r="Z34" i="16"/>
  <c r="X12" i="17"/>
  <c r="R15" i="17"/>
  <c r="V16" i="17"/>
  <c r="X20" i="19"/>
  <c r="X25" i="19"/>
  <c r="F33" i="19"/>
  <c r="F34" i="19"/>
  <c r="V36" i="19"/>
  <c r="J16" i="20"/>
  <c r="X22" i="20"/>
  <c r="X24" i="20"/>
  <c r="R25" i="20"/>
  <c r="L13" i="22"/>
  <c r="T18" i="22"/>
  <c r="T27" i="22" s="1"/>
  <c r="T31" i="22" s="1"/>
  <c r="V21" i="22"/>
  <c r="J25" i="22"/>
  <c r="J29" i="22"/>
  <c r="J34" i="22"/>
  <c r="V36" i="22"/>
  <c r="V27" i="23"/>
  <c r="V31" i="23"/>
  <c r="F34" i="23"/>
  <c r="V15" i="24"/>
  <c r="J18" i="24"/>
  <c r="R20" i="24"/>
  <c r="R21" i="24"/>
  <c r="R22" i="24"/>
  <c r="F29" i="24"/>
  <c r="F31" i="24"/>
  <c r="F24" i="26"/>
  <c r="F34" i="26"/>
  <c r="F31" i="26"/>
  <c r="F22" i="26"/>
  <c r="F27" i="26"/>
  <c r="F20" i="26"/>
  <c r="J22" i="26"/>
  <c r="J24" i="26"/>
  <c r="L15" i="27"/>
  <c r="L21" i="27"/>
  <c r="N21" i="27"/>
  <c r="F36" i="29"/>
  <c r="F18" i="29"/>
  <c r="J20" i="40"/>
  <c r="J22" i="40"/>
  <c r="J24" i="40"/>
  <c r="H18" i="40"/>
  <c r="H27" i="40" s="1"/>
  <c r="J15" i="40"/>
  <c r="J25" i="40"/>
  <c r="J21" i="40"/>
  <c r="J36" i="40"/>
  <c r="J33" i="40"/>
  <c r="N12" i="40"/>
  <c r="F21" i="41"/>
  <c r="F36" i="41"/>
  <c r="F29" i="41"/>
  <c r="F33" i="41"/>
  <c r="F24" i="41"/>
  <c r="F20" i="41"/>
  <c r="F27" i="41"/>
  <c r="F22" i="41"/>
  <c r="F31" i="41"/>
  <c r="F15" i="41"/>
  <c r="F34" i="41"/>
  <c r="F16" i="41"/>
  <c r="X20" i="43"/>
  <c r="X33" i="53"/>
  <c r="J18" i="95"/>
  <c r="V15" i="4"/>
  <c r="R21" i="4"/>
  <c r="F29" i="4"/>
  <c r="X21" i="5"/>
  <c r="V22" i="5"/>
  <c r="J15" i="7"/>
  <c r="F18" i="7"/>
  <c r="X20" i="7"/>
  <c r="R21" i="7"/>
  <c r="V36" i="7"/>
  <c r="L15" i="8"/>
  <c r="T18" i="8"/>
  <c r="T27" i="8" s="1"/>
  <c r="V21" i="8"/>
  <c r="F36" i="8"/>
  <c r="L12" i="10"/>
  <c r="J18" i="10"/>
  <c r="F21" i="10"/>
  <c r="N12" i="11"/>
  <c r="X13" i="11"/>
  <c r="F18" i="11"/>
  <c r="F34" i="11"/>
  <c r="X13" i="13"/>
  <c r="X15" i="13"/>
  <c r="R20" i="13"/>
  <c r="V16" i="14"/>
  <c r="V21" i="14"/>
  <c r="V22" i="14"/>
  <c r="L13" i="16"/>
  <c r="N21" i="16"/>
  <c r="V20" i="17"/>
  <c r="R22" i="17"/>
  <c r="Z24" i="17"/>
  <c r="J36" i="17"/>
  <c r="T18" i="19"/>
  <c r="T27" i="19" s="1"/>
  <c r="V25" i="19"/>
  <c r="N16" i="20"/>
  <c r="P18" i="20"/>
  <c r="P27" i="20" s="1"/>
  <c r="P31" i="20" s="1"/>
  <c r="R24" i="20"/>
  <c r="J15" i="22"/>
  <c r="J24" i="22"/>
  <c r="X29" i="22"/>
  <c r="J33" i="22"/>
  <c r="N34" i="22"/>
  <c r="V15" i="23"/>
  <c r="V16" i="23"/>
  <c r="J22" i="23"/>
  <c r="J24" i="23"/>
  <c r="F15" i="24"/>
  <c r="P18" i="24"/>
  <c r="R25" i="24"/>
  <c r="J31" i="24"/>
  <c r="R33" i="24"/>
  <c r="P18" i="26"/>
  <c r="P27" i="26" s="1"/>
  <c r="P31" i="26" s="1"/>
  <c r="P36" i="26" s="1"/>
  <c r="V22" i="30"/>
  <c r="V33" i="30"/>
  <c r="V29" i="30"/>
  <c r="V16" i="30"/>
  <c r="Z12" i="30"/>
  <c r="X12" i="30"/>
  <c r="V25" i="30"/>
  <c r="V20" i="30"/>
  <c r="T18" i="30"/>
  <c r="T27" i="30" s="1"/>
  <c r="L16" i="30"/>
  <c r="X25" i="32"/>
  <c r="N21" i="33"/>
  <c r="L21" i="33"/>
  <c r="L24" i="37"/>
  <c r="N24" i="37"/>
  <c r="V15" i="38"/>
  <c r="D18" i="38"/>
  <c r="L25" i="44"/>
  <c r="X25" i="49"/>
  <c r="L20" i="50"/>
  <c r="X29" i="93"/>
  <c r="F34" i="94"/>
  <c r="F25" i="94"/>
  <c r="F16" i="94"/>
  <c r="F15" i="94"/>
  <c r="F22" i="94"/>
  <c r="F29" i="94"/>
  <c r="F20" i="94"/>
  <c r="F36" i="94"/>
  <c r="X20" i="94"/>
  <c r="V18" i="5"/>
  <c r="R18" i="4"/>
  <c r="V22" i="4"/>
  <c r="L25" i="4"/>
  <c r="X33" i="4"/>
  <c r="L13" i="5"/>
  <c r="R15" i="5"/>
  <c r="L29" i="5"/>
  <c r="J18" i="7"/>
  <c r="R20" i="7"/>
  <c r="Z12" i="8"/>
  <c r="F15" i="8"/>
  <c r="V18" i="8"/>
  <c r="F25" i="8"/>
  <c r="V33" i="8"/>
  <c r="V36" i="8"/>
  <c r="L20" i="10"/>
  <c r="J24" i="10"/>
  <c r="J36" i="10"/>
  <c r="V18" i="11"/>
  <c r="L21" i="11"/>
  <c r="F22" i="11"/>
  <c r="J25" i="11"/>
  <c r="L24" i="14"/>
  <c r="J25" i="14"/>
  <c r="J29" i="14"/>
  <c r="J33" i="14"/>
  <c r="X15" i="16"/>
  <c r="Z12" i="17"/>
  <c r="J18" i="17"/>
  <c r="J27" i="17"/>
  <c r="J31" i="17"/>
  <c r="R36" i="17"/>
  <c r="V15" i="19"/>
  <c r="V18" i="19"/>
  <c r="V20" i="19"/>
  <c r="Z25" i="19"/>
  <c r="L13" i="20"/>
  <c r="R18" i="20"/>
  <c r="X16" i="22"/>
  <c r="X22" i="23"/>
  <c r="X12" i="24"/>
  <c r="R18" i="24"/>
  <c r="V31" i="24"/>
  <c r="X34" i="24"/>
  <c r="R15" i="26"/>
  <c r="J15" i="30"/>
  <c r="F20" i="37"/>
  <c r="F27" i="37"/>
  <c r="F31" i="37"/>
  <c r="F34" i="37"/>
  <c r="L24" i="38"/>
  <c r="V20" i="44"/>
  <c r="V16" i="44"/>
  <c r="L21" i="44"/>
  <c r="L24" i="47"/>
  <c r="X15" i="49"/>
  <c r="L25" i="95"/>
  <c r="V21" i="4"/>
  <c r="F25" i="4"/>
  <c r="R33" i="5"/>
  <c r="R36" i="5"/>
  <c r="X13" i="7"/>
  <c r="T18" i="7"/>
  <c r="T27" i="7" s="1"/>
  <c r="L34" i="7"/>
  <c r="L24" i="8"/>
  <c r="F20" i="10"/>
  <c r="J21" i="10"/>
  <c r="X25" i="10"/>
  <c r="X29" i="10"/>
  <c r="X33" i="10"/>
  <c r="F21" i="11"/>
  <c r="J29" i="11"/>
  <c r="J33" i="11"/>
  <c r="X34" i="11"/>
  <c r="J18" i="13"/>
  <c r="Z12" i="14"/>
  <c r="H18" i="14"/>
  <c r="R15" i="16"/>
  <c r="P18" i="17"/>
  <c r="P27" i="17" s="1"/>
  <c r="Z15" i="19"/>
  <c r="V21" i="19"/>
  <c r="V22" i="19"/>
  <c r="L25" i="19"/>
  <c r="F27" i="19"/>
  <c r="V29" i="19"/>
  <c r="R15" i="20"/>
  <c r="R16" i="20"/>
  <c r="R36" i="20"/>
  <c r="X15" i="22"/>
  <c r="X24" i="22"/>
  <c r="V25" i="22"/>
  <c r="V29" i="22"/>
  <c r="Z12" i="23"/>
  <c r="L16" i="23"/>
  <c r="F18" i="23"/>
  <c r="X20" i="23"/>
  <c r="R22" i="23"/>
  <c r="T18" i="24"/>
  <c r="T27" i="24" s="1"/>
  <c r="V25" i="24"/>
  <c r="V33" i="24"/>
  <c r="V34" i="24"/>
  <c r="R20" i="26"/>
  <c r="R36" i="26"/>
  <c r="R33" i="26"/>
  <c r="R29" i="26"/>
  <c r="R25" i="26"/>
  <c r="R24" i="26"/>
  <c r="X29" i="26"/>
  <c r="X34" i="26"/>
  <c r="X20" i="30"/>
  <c r="N34" i="35"/>
  <c r="L34" i="35"/>
  <c r="V21" i="38"/>
  <c r="V29" i="38"/>
  <c r="X16" i="43"/>
  <c r="L15" i="46"/>
  <c r="J29" i="53"/>
  <c r="L22" i="5"/>
  <c r="F21" i="8"/>
  <c r="F22" i="8"/>
  <c r="R18" i="13"/>
  <c r="L21" i="19"/>
  <c r="F25" i="24"/>
  <c r="F27" i="24"/>
  <c r="X29" i="24"/>
  <c r="F33" i="24"/>
  <c r="L34" i="24"/>
  <c r="V24" i="26"/>
  <c r="V31" i="26"/>
  <c r="V27" i="26"/>
  <c r="V21" i="26"/>
  <c r="V18" i="26"/>
  <c r="V34" i="26"/>
  <c r="X20" i="26"/>
  <c r="Z20" i="26"/>
  <c r="V22" i="26"/>
  <c r="V36" i="29"/>
  <c r="V16" i="29"/>
  <c r="V18" i="29"/>
  <c r="V20" i="29"/>
  <c r="V36" i="46"/>
  <c r="V18" i="46"/>
  <c r="V22" i="46"/>
  <c r="V21" i="46"/>
  <c r="F22" i="47"/>
  <c r="F15" i="47"/>
  <c r="D18" i="47"/>
  <c r="D27" i="47" s="1"/>
  <c r="F36" i="47"/>
  <c r="F25" i="47"/>
  <c r="L12" i="47"/>
  <c r="F29" i="47"/>
  <c r="X25" i="26"/>
  <c r="X33" i="26"/>
  <c r="J21" i="27"/>
  <c r="F25" i="27"/>
  <c r="F27" i="27"/>
  <c r="X29" i="27"/>
  <c r="F33" i="27"/>
  <c r="L34" i="27"/>
  <c r="R22" i="29"/>
  <c r="R24" i="29"/>
  <c r="R25" i="29"/>
  <c r="R29" i="29"/>
  <c r="R36" i="29"/>
  <c r="X15" i="30"/>
  <c r="R21" i="30"/>
  <c r="R16" i="32"/>
  <c r="R33" i="32"/>
  <c r="J15" i="33"/>
  <c r="H18" i="33"/>
  <c r="L13" i="35"/>
  <c r="F20" i="35"/>
  <c r="L20" i="37"/>
  <c r="L21" i="37"/>
  <c r="H18" i="38"/>
  <c r="N18" i="38" s="1"/>
  <c r="F29" i="38"/>
  <c r="V15" i="40"/>
  <c r="F20" i="40"/>
  <c r="V21" i="40"/>
  <c r="F34" i="40"/>
  <c r="F36" i="40"/>
  <c r="D18" i="41"/>
  <c r="D27" i="41" s="1"/>
  <c r="R18" i="41"/>
  <c r="V22" i="41"/>
  <c r="R21" i="43"/>
  <c r="L33" i="43"/>
  <c r="J34" i="43"/>
  <c r="J24" i="44"/>
  <c r="L21" i="49"/>
  <c r="J22" i="49"/>
  <c r="R24" i="49"/>
  <c r="X20" i="52"/>
  <c r="V18" i="93"/>
  <c r="X21" i="93"/>
  <c r="L25" i="93"/>
  <c r="L33" i="93"/>
  <c r="R15" i="94"/>
  <c r="R24" i="94"/>
  <c r="L20" i="95"/>
  <c r="R29" i="95"/>
  <c r="L34" i="95"/>
  <c r="R16" i="27"/>
  <c r="J24" i="27"/>
  <c r="J27" i="27"/>
  <c r="R29" i="27"/>
  <c r="F34" i="27"/>
  <c r="F36" i="27"/>
  <c r="P18" i="29"/>
  <c r="P27" i="29" s="1"/>
  <c r="P31" i="29" s="1"/>
  <c r="X21" i="30"/>
  <c r="R15" i="32"/>
  <c r="R20" i="32"/>
  <c r="V33" i="33"/>
  <c r="F21" i="35"/>
  <c r="J22" i="35"/>
  <c r="F24" i="35"/>
  <c r="L13" i="38"/>
  <c r="J15" i="38"/>
  <c r="J18" i="38"/>
  <c r="F21" i="38"/>
  <c r="X24" i="38"/>
  <c r="J31" i="38"/>
  <c r="X34" i="38"/>
  <c r="V16" i="40"/>
  <c r="F21" i="40"/>
  <c r="F25" i="40"/>
  <c r="F27" i="40"/>
  <c r="V18" i="41"/>
  <c r="V15" i="43"/>
  <c r="P18" i="43"/>
  <c r="P27" i="43" s="1"/>
  <c r="R16" i="44"/>
  <c r="R24" i="46"/>
  <c r="V15" i="47"/>
  <c r="V18" i="49"/>
  <c r="J18" i="52"/>
  <c r="Z20" i="52"/>
  <c r="J24" i="93"/>
  <c r="R16" i="94"/>
  <c r="R21" i="32"/>
  <c r="J27" i="32"/>
  <c r="T18" i="33"/>
  <c r="T27" i="33" s="1"/>
  <c r="V18" i="33"/>
  <c r="V20" i="33"/>
  <c r="J24" i="33"/>
  <c r="R16" i="35"/>
  <c r="J20" i="35"/>
  <c r="P18" i="37"/>
  <c r="P27" i="37" s="1"/>
  <c r="P31" i="37" s="1"/>
  <c r="R22" i="37"/>
  <c r="R24" i="37"/>
  <c r="J29" i="38"/>
  <c r="Z34" i="38"/>
  <c r="F15" i="40"/>
  <c r="D18" i="40"/>
  <c r="D27" i="40" s="1"/>
  <c r="L24" i="40"/>
  <c r="V27" i="40"/>
  <c r="V29" i="40"/>
  <c r="V36" i="40"/>
  <c r="L24" i="41"/>
  <c r="R18" i="43"/>
  <c r="R15" i="44"/>
  <c r="R20" i="44"/>
  <c r="R22" i="44"/>
  <c r="F18" i="46"/>
  <c r="V33" i="47"/>
  <c r="L20" i="49"/>
  <c r="L16" i="52"/>
  <c r="R18" i="52"/>
  <c r="X16" i="53"/>
  <c r="V21" i="53"/>
  <c r="V31" i="53"/>
  <c r="N12" i="93"/>
  <c r="X16" i="93"/>
  <c r="F20" i="93"/>
  <c r="X25" i="93"/>
  <c r="R16" i="95"/>
  <c r="R22" i="95"/>
  <c r="R25" i="95"/>
  <c r="D18" i="27"/>
  <c r="D27" i="27" s="1"/>
  <c r="D31" i="27" s="1"/>
  <c r="R20" i="27"/>
  <c r="R21" i="27"/>
  <c r="R24" i="27"/>
  <c r="V29" i="27"/>
  <c r="J34" i="27"/>
  <c r="V36" i="27"/>
  <c r="R15" i="29"/>
  <c r="R16" i="29"/>
  <c r="J27" i="29"/>
  <c r="J31" i="29"/>
  <c r="F21" i="30"/>
  <c r="F25" i="30"/>
  <c r="J31" i="32"/>
  <c r="R36" i="32"/>
  <c r="V15" i="33"/>
  <c r="R22" i="33"/>
  <c r="V29" i="33"/>
  <c r="X21" i="35"/>
  <c r="R15" i="37"/>
  <c r="R16" i="37"/>
  <c r="X13" i="38"/>
  <c r="L16" i="38"/>
  <c r="N21" i="38"/>
  <c r="F33" i="38"/>
  <c r="F36" i="38"/>
  <c r="F18" i="40"/>
  <c r="L21" i="41"/>
  <c r="V34" i="43"/>
  <c r="R24" i="47"/>
  <c r="V29" i="47"/>
  <c r="V36" i="47"/>
  <c r="L34" i="49"/>
  <c r="X13" i="50"/>
  <c r="D18" i="50"/>
  <c r="D27" i="50" s="1"/>
  <c r="X25" i="53"/>
  <c r="D18" i="94"/>
  <c r="D27" i="94" s="1"/>
  <c r="V15" i="27"/>
  <c r="J18" i="27"/>
  <c r="R22" i="27"/>
  <c r="X25" i="27"/>
  <c r="F29" i="27"/>
  <c r="F31" i="27"/>
  <c r="X33" i="27"/>
  <c r="J34" i="29"/>
  <c r="F15" i="30"/>
  <c r="J18" i="32"/>
  <c r="Z12" i="33"/>
  <c r="Z15" i="33"/>
  <c r="F20" i="33"/>
  <c r="V21" i="33"/>
  <c r="X24" i="33"/>
  <c r="V25" i="33"/>
  <c r="L16" i="35"/>
  <c r="F18" i="35"/>
  <c r="X16" i="37"/>
  <c r="R20" i="37"/>
  <c r="L34" i="38"/>
  <c r="J36" i="38"/>
  <c r="F16" i="40"/>
  <c r="F29" i="40"/>
  <c r="F31" i="40"/>
  <c r="R16" i="41"/>
  <c r="X12" i="43"/>
  <c r="J21" i="43"/>
  <c r="L22" i="43"/>
  <c r="R25" i="43"/>
  <c r="R29" i="43"/>
  <c r="R33" i="43"/>
  <c r="J18" i="44"/>
  <c r="N12" i="46"/>
  <c r="X13" i="46"/>
  <c r="L16" i="46"/>
  <c r="L21" i="46"/>
  <c r="F22" i="46"/>
  <c r="X12" i="47"/>
  <c r="P18" i="47"/>
  <c r="P27" i="47" s="1"/>
  <c r="R21" i="47"/>
  <c r="V25" i="47"/>
  <c r="X12" i="49"/>
  <c r="L29" i="50"/>
  <c r="F33" i="50"/>
  <c r="X22" i="52"/>
  <c r="X15" i="53"/>
  <c r="L21" i="53"/>
  <c r="Z25" i="53"/>
  <c r="V16" i="93"/>
  <c r="J20" i="93"/>
  <c r="F22" i="93"/>
  <c r="R24" i="93"/>
  <c r="L29" i="93"/>
  <c r="J24" i="94"/>
  <c r="L25" i="94"/>
  <c r="X29" i="94"/>
  <c r="R15" i="95"/>
  <c r="F15" i="27"/>
  <c r="P18" i="27"/>
  <c r="P27" i="27" s="1"/>
  <c r="R25" i="27"/>
  <c r="J31" i="27"/>
  <c r="R33" i="27"/>
  <c r="L21" i="29"/>
  <c r="J22" i="29"/>
  <c r="X34" i="29"/>
  <c r="L15" i="30"/>
  <c r="D18" i="30"/>
  <c r="F36" i="30"/>
  <c r="P18" i="32"/>
  <c r="P27" i="32" s="1"/>
  <c r="L15" i="33"/>
  <c r="V16" i="33"/>
  <c r="V22" i="33"/>
  <c r="L33" i="33"/>
  <c r="F16" i="35"/>
  <c r="R20" i="35"/>
  <c r="R24" i="35"/>
  <c r="F27" i="35"/>
  <c r="X15" i="37"/>
  <c r="X20" i="37"/>
  <c r="L22" i="37"/>
  <c r="X34" i="37"/>
  <c r="L12" i="38"/>
  <c r="X20" i="38"/>
  <c r="X29" i="38"/>
  <c r="J33" i="38"/>
  <c r="N15" i="40"/>
  <c r="T18" i="40"/>
  <c r="T27" i="40" s="1"/>
  <c r="X24" i="40"/>
  <c r="X25" i="40"/>
  <c r="V31" i="40"/>
  <c r="V33" i="40"/>
  <c r="V34" i="40"/>
  <c r="X22" i="41"/>
  <c r="L25" i="41"/>
  <c r="Z12" i="43"/>
  <c r="L16" i="44"/>
  <c r="R18" i="44"/>
  <c r="L24" i="44"/>
  <c r="F21" i="46"/>
  <c r="L24" i="46"/>
  <c r="T18" i="47"/>
  <c r="T27" i="47" s="1"/>
  <c r="L33" i="47"/>
  <c r="X20" i="49"/>
  <c r="X34" i="49"/>
  <c r="L12" i="50"/>
  <c r="L15" i="50"/>
  <c r="F29" i="50"/>
  <c r="X34" i="50"/>
  <c r="L29" i="53"/>
  <c r="F21" i="93"/>
  <c r="L13" i="94"/>
  <c r="X13" i="95"/>
  <c r="X33" i="95"/>
  <c r="R174" i="3"/>
  <c r="R165" i="3"/>
  <c r="R161" i="3"/>
  <c r="R148" i="3"/>
  <c r="R144" i="3"/>
  <c r="R140" i="3"/>
  <c r="R112" i="3"/>
  <c r="R108" i="3"/>
  <c r="R105" i="3"/>
  <c r="R100" i="3"/>
  <c r="R96" i="3"/>
  <c r="R93" i="3"/>
  <c r="R88" i="3"/>
  <c r="R171" i="3"/>
  <c r="R155" i="3"/>
  <c r="R147" i="3"/>
  <c r="R143" i="3"/>
  <c r="R139" i="3"/>
  <c r="R135" i="3"/>
  <c r="R123" i="3"/>
  <c r="R120" i="3"/>
  <c r="R115" i="3"/>
  <c r="R111" i="3"/>
  <c r="R99" i="3"/>
  <c r="R87" i="3"/>
  <c r="R176" i="3"/>
  <c r="R158" i="3"/>
  <c r="R154" i="3"/>
  <c r="R146" i="3"/>
  <c r="R138" i="3"/>
  <c r="R134" i="3"/>
  <c r="R130" i="3"/>
  <c r="R107" i="3"/>
  <c r="R102" i="3"/>
  <c r="R95" i="3"/>
  <c r="R90" i="3"/>
  <c r="R86" i="3"/>
  <c r="R185" i="3"/>
  <c r="R173" i="3"/>
  <c r="R157" i="3"/>
  <c r="R153" i="3"/>
  <c r="R142" i="3"/>
  <c r="R137" i="3"/>
  <c r="R133" i="3"/>
  <c r="R129" i="3"/>
  <c r="R125" i="3"/>
  <c r="R122" i="3"/>
  <c r="R117" i="3"/>
  <c r="R114" i="3"/>
  <c r="R110" i="3"/>
  <c r="R98" i="3"/>
  <c r="R85" i="3"/>
  <c r="R170" i="3"/>
  <c r="R164" i="3"/>
  <c r="R160" i="3"/>
  <c r="R152" i="3"/>
  <c r="R145" i="3"/>
  <c r="R132" i="3"/>
  <c r="R128" i="3"/>
  <c r="R104" i="3"/>
  <c r="R101" i="3"/>
  <c r="R92" i="3"/>
  <c r="R89" i="3"/>
  <c r="R175" i="3"/>
  <c r="R163" i="3"/>
  <c r="R156" i="3"/>
  <c r="R151" i="3"/>
  <c r="R136" i="3"/>
  <c r="R127" i="3"/>
  <c r="R124" i="3"/>
  <c r="R119" i="3"/>
  <c r="R116" i="3"/>
  <c r="R159" i="3"/>
  <c r="R118" i="3"/>
  <c r="R94" i="3"/>
  <c r="R91" i="3"/>
  <c r="R72" i="3"/>
  <c r="R60" i="3"/>
  <c r="R52" i="3"/>
  <c r="R44" i="3"/>
  <c r="R36" i="3"/>
  <c r="R28" i="3"/>
  <c r="R162" i="3"/>
  <c r="R166" i="3"/>
  <c r="R149" i="3"/>
  <c r="R71" i="3"/>
  <c r="R59" i="3"/>
  <c r="R51" i="3"/>
  <c r="R43" i="3"/>
  <c r="R35" i="3"/>
  <c r="R53" i="3"/>
  <c r="R184" i="3"/>
  <c r="R180" i="3"/>
  <c r="R172" i="3"/>
  <c r="R150" i="3"/>
  <c r="R131" i="3"/>
  <c r="R113" i="3"/>
  <c r="R70" i="3"/>
  <c r="R58" i="3"/>
  <c r="R50" i="3"/>
  <c r="R42" i="3"/>
  <c r="R34" i="3"/>
  <c r="R27" i="3"/>
  <c r="R109" i="3"/>
  <c r="R77" i="3"/>
  <c r="R69" i="3"/>
  <c r="R64" i="3"/>
  <c r="R57" i="3"/>
  <c r="R49" i="3"/>
  <c r="R41" i="3"/>
  <c r="R33" i="3"/>
  <c r="R45" i="3"/>
  <c r="R106" i="3"/>
  <c r="R103" i="3"/>
  <c r="R82" i="3"/>
  <c r="R76" i="3"/>
  <c r="R68" i="3"/>
  <c r="R66" i="3"/>
  <c r="P64" i="3"/>
  <c r="R56" i="3"/>
  <c r="R48" i="3"/>
  <c r="R40" i="3"/>
  <c r="R32" i="3"/>
  <c r="R29" i="3"/>
  <c r="R169" i="3"/>
  <c r="R126" i="3"/>
  <c r="R84" i="3"/>
  <c r="R83" i="3"/>
  <c r="R81" i="3"/>
  <c r="R80" i="3"/>
  <c r="R79" i="3"/>
  <c r="R75" i="3"/>
  <c r="R55" i="3"/>
  <c r="R47" i="3"/>
  <c r="R39" i="3"/>
  <c r="R31" i="3"/>
  <c r="R78" i="3"/>
  <c r="R37" i="3"/>
  <c r="R121" i="3"/>
  <c r="R97" i="3"/>
  <c r="R74" i="3"/>
  <c r="R67" i="3"/>
  <c r="R62" i="3"/>
  <c r="R54" i="3"/>
  <c r="R46" i="3"/>
  <c r="R38" i="3"/>
  <c r="R30" i="3"/>
  <c r="X12" i="3"/>
  <c r="R141" i="3"/>
  <c r="R73" i="3"/>
  <c r="R61" i="3"/>
  <c r="N66" i="3"/>
  <c r="Z66" i="3"/>
  <c r="N27" i="3"/>
  <c r="F173" i="3"/>
  <c r="F164" i="3"/>
  <c r="F160" i="3"/>
  <c r="F152" i="3"/>
  <c r="F132" i="3"/>
  <c r="F128" i="3"/>
  <c r="F107" i="3"/>
  <c r="F104" i="3"/>
  <c r="F95" i="3"/>
  <c r="F92" i="3"/>
  <c r="F84" i="3"/>
  <c r="F185" i="3"/>
  <c r="F170" i="3"/>
  <c r="F163" i="3"/>
  <c r="F151" i="3"/>
  <c r="F142" i="3"/>
  <c r="F127" i="3"/>
  <c r="F122" i="3"/>
  <c r="F119" i="3"/>
  <c r="F114" i="3"/>
  <c r="F110" i="3"/>
  <c r="F98" i="3"/>
  <c r="F180" i="3"/>
  <c r="F175" i="3"/>
  <c r="F166" i="3"/>
  <c r="F162" i="3"/>
  <c r="F150" i="3"/>
  <c r="F145" i="3"/>
  <c r="F106" i="3"/>
  <c r="F101" i="3"/>
  <c r="F94" i="3"/>
  <c r="F89" i="3"/>
  <c r="F172" i="3"/>
  <c r="F156" i="3"/>
  <c r="F149" i="3"/>
  <c r="F141" i="3"/>
  <c r="F136" i="3"/>
  <c r="F124" i="3"/>
  <c r="F121" i="3"/>
  <c r="F116" i="3"/>
  <c r="F113" i="3"/>
  <c r="F109" i="3"/>
  <c r="F97" i="3"/>
  <c r="F81" i="3"/>
  <c r="F169" i="3"/>
  <c r="F159" i="3"/>
  <c r="F148" i="3"/>
  <c r="F144" i="3"/>
  <c r="F140" i="3"/>
  <c r="F131" i="3"/>
  <c r="F112" i="3"/>
  <c r="F108" i="3"/>
  <c r="F103" i="3"/>
  <c r="F100" i="3"/>
  <c r="F96" i="3"/>
  <c r="F91" i="3"/>
  <c r="F88" i="3"/>
  <c r="F184" i="3"/>
  <c r="F174" i="3"/>
  <c r="F155" i="3"/>
  <c r="F147" i="3"/>
  <c r="F143" i="3"/>
  <c r="F139" i="3"/>
  <c r="F135" i="3"/>
  <c r="F126" i="3"/>
  <c r="F123" i="3"/>
  <c r="F118" i="3"/>
  <c r="F115" i="3"/>
  <c r="F111" i="3"/>
  <c r="F99" i="3"/>
  <c r="F146" i="3"/>
  <c r="F129" i="3"/>
  <c r="F93" i="3"/>
  <c r="F90" i="3"/>
  <c r="F83" i="3"/>
  <c r="F82" i="3"/>
  <c r="F80" i="3"/>
  <c r="F76" i="3"/>
  <c r="F68" i="3"/>
  <c r="F56" i="3"/>
  <c r="F48" i="3"/>
  <c r="F40" i="3"/>
  <c r="F32" i="3"/>
  <c r="F27" i="3"/>
  <c r="F171" i="3"/>
  <c r="F165" i="3"/>
  <c r="F158" i="3"/>
  <c r="F85" i="3"/>
  <c r="F79" i="3"/>
  <c r="F75" i="3"/>
  <c r="F55" i="3"/>
  <c r="F47" i="3"/>
  <c r="F39" i="3"/>
  <c r="F31" i="3"/>
  <c r="F130" i="3"/>
  <c r="F117" i="3"/>
  <c r="F86" i="3"/>
  <c r="F74" i="3"/>
  <c r="D64" i="3"/>
  <c r="F62" i="3"/>
  <c r="F54" i="3"/>
  <c r="F46" i="3"/>
  <c r="F38" i="3"/>
  <c r="F30" i="3"/>
  <c r="L12" i="3"/>
  <c r="N12" i="3" s="1"/>
  <c r="F77" i="3"/>
  <c r="F69" i="3"/>
  <c r="F57" i="3"/>
  <c r="F133" i="3"/>
  <c r="F87" i="3"/>
  <c r="F73" i="3"/>
  <c r="F61" i="3"/>
  <c r="F53" i="3"/>
  <c r="F45" i="3"/>
  <c r="F37" i="3"/>
  <c r="F29" i="3"/>
  <c r="F137" i="3"/>
  <c r="F134" i="3"/>
  <c r="F105" i="3"/>
  <c r="F72" i="3"/>
  <c r="F67" i="3"/>
  <c r="F66" i="3"/>
  <c r="F60" i="3"/>
  <c r="F52" i="3"/>
  <c r="F44" i="3"/>
  <c r="F36" i="3"/>
  <c r="F28" i="3"/>
  <c r="F157" i="3"/>
  <c r="F120" i="3"/>
  <c r="F41" i="3"/>
  <c r="F33" i="3"/>
  <c r="F176" i="3"/>
  <c r="F153" i="3"/>
  <c r="F102" i="3"/>
  <c r="F78" i="3"/>
  <c r="F71" i="3"/>
  <c r="F59" i="3"/>
  <c r="F51" i="3"/>
  <c r="F43" i="3"/>
  <c r="F35" i="3"/>
  <c r="F161" i="3"/>
  <c r="F138" i="3"/>
  <c r="F125" i="3"/>
  <c r="F70" i="3"/>
  <c r="F58" i="3"/>
  <c r="F50" i="3"/>
  <c r="F42" i="3"/>
  <c r="F34" i="3"/>
  <c r="F154" i="3"/>
  <c r="F49" i="3"/>
  <c r="V44" i="3"/>
  <c r="V86" i="3"/>
  <c r="N25" i="7"/>
  <c r="L25" i="7"/>
  <c r="Z34" i="10"/>
  <c r="X34" i="10"/>
  <c r="L17" i="3"/>
  <c r="N17" i="3" s="1"/>
  <c r="X20" i="3"/>
  <c r="J27" i="3"/>
  <c r="V29" i="3"/>
  <c r="J33" i="3"/>
  <c r="V37" i="3"/>
  <c r="J41" i="3"/>
  <c r="V45" i="3"/>
  <c r="J49" i="3"/>
  <c r="V53" i="3"/>
  <c r="J57" i="3"/>
  <c r="V61" i="3"/>
  <c r="J69" i="3"/>
  <c r="V73" i="3"/>
  <c r="J77" i="3"/>
  <c r="X93" i="3"/>
  <c r="N120" i="3"/>
  <c r="L120" i="3"/>
  <c r="Z136" i="3"/>
  <c r="J157" i="3"/>
  <c r="Z165" i="3"/>
  <c r="J168" i="3"/>
  <c r="J185" i="3"/>
  <c r="T18" i="4"/>
  <c r="F20" i="5"/>
  <c r="F16" i="5"/>
  <c r="F34" i="5"/>
  <c r="F31" i="5"/>
  <c r="F27" i="5"/>
  <c r="F24" i="5"/>
  <c r="F21" i="5"/>
  <c r="F18" i="5"/>
  <c r="F36" i="5"/>
  <c r="F33" i="5"/>
  <c r="F29" i="5"/>
  <c r="F25" i="5"/>
  <c r="D18" i="5"/>
  <c r="F15" i="5"/>
  <c r="L12" i="5"/>
  <c r="Z15" i="5"/>
  <c r="X15" i="5"/>
  <c r="L12" i="8"/>
  <c r="X16" i="9"/>
  <c r="P97" i="9"/>
  <c r="R16" i="10"/>
  <c r="Z24" i="11"/>
  <c r="X24" i="11"/>
  <c r="L70" i="12"/>
  <c r="N70" i="12" s="1"/>
  <c r="L102" i="12"/>
  <c r="N102" i="12" s="1"/>
  <c r="Z144" i="12"/>
  <c r="L21" i="13"/>
  <c r="V171" i="3"/>
  <c r="V155" i="3"/>
  <c r="V147" i="3"/>
  <c r="V143" i="3"/>
  <c r="V139" i="3"/>
  <c r="V135" i="3"/>
  <c r="V123" i="3"/>
  <c r="V115" i="3"/>
  <c r="V111" i="3"/>
  <c r="V107" i="3"/>
  <c r="V99" i="3"/>
  <c r="V95" i="3"/>
  <c r="V87" i="3"/>
  <c r="V185" i="3"/>
  <c r="V176" i="3"/>
  <c r="V168" i="3"/>
  <c r="V158" i="3"/>
  <c r="V154" i="3"/>
  <c r="V146" i="3"/>
  <c r="V142" i="3"/>
  <c r="V138" i="3"/>
  <c r="V134" i="3"/>
  <c r="V130" i="3"/>
  <c r="V122" i="3"/>
  <c r="V114" i="3"/>
  <c r="V110" i="3"/>
  <c r="V102" i="3"/>
  <c r="V98" i="3"/>
  <c r="V90" i="3"/>
  <c r="V173" i="3"/>
  <c r="V157" i="3"/>
  <c r="V153" i="3"/>
  <c r="V145" i="3"/>
  <c r="V137" i="3"/>
  <c r="V133" i="3"/>
  <c r="V129" i="3"/>
  <c r="V125" i="3"/>
  <c r="V117" i="3"/>
  <c r="V101" i="3"/>
  <c r="V89" i="3"/>
  <c r="V170" i="3"/>
  <c r="V164" i="3"/>
  <c r="V160" i="3"/>
  <c r="V156" i="3"/>
  <c r="V152" i="3"/>
  <c r="V136" i="3"/>
  <c r="V132" i="3"/>
  <c r="V128" i="3"/>
  <c r="V124" i="3"/>
  <c r="V116" i="3"/>
  <c r="V104" i="3"/>
  <c r="V92" i="3"/>
  <c r="V84" i="3"/>
  <c r="V175" i="3"/>
  <c r="V163" i="3"/>
  <c r="V159" i="3"/>
  <c r="V151" i="3"/>
  <c r="V131" i="3"/>
  <c r="V127" i="3"/>
  <c r="V119" i="3"/>
  <c r="V103" i="3"/>
  <c r="V91" i="3"/>
  <c r="V184" i="3"/>
  <c r="V180" i="3"/>
  <c r="V172" i="3"/>
  <c r="V166" i="3"/>
  <c r="V162" i="3"/>
  <c r="V150" i="3"/>
  <c r="V126" i="3"/>
  <c r="V118" i="3"/>
  <c r="V106" i="3"/>
  <c r="V94" i="3"/>
  <c r="N14" i="9"/>
  <c r="L14" i="9"/>
  <c r="L42" i="9"/>
  <c r="N42" i="9" s="1"/>
  <c r="Z12" i="3"/>
  <c r="V30" i="3"/>
  <c r="J34" i="3"/>
  <c r="V38" i="3"/>
  <c r="J42" i="3"/>
  <c r="V46" i="3"/>
  <c r="J50" i="3"/>
  <c r="V54" i="3"/>
  <c r="J58" i="3"/>
  <c r="V62" i="3"/>
  <c r="J70" i="3"/>
  <c r="V74" i="3"/>
  <c r="V78" i="3"/>
  <c r="V85" i="3"/>
  <c r="J92" i="3"/>
  <c r="Z93" i="3"/>
  <c r="L95" i="3"/>
  <c r="V97" i="3"/>
  <c r="N110" i="3"/>
  <c r="V121" i="3"/>
  <c r="J125" i="3"/>
  <c r="J128" i="3"/>
  <c r="V148" i="3"/>
  <c r="J160" i="3"/>
  <c r="X161" i="3"/>
  <c r="V165" i="3"/>
  <c r="L13" i="4"/>
  <c r="J24" i="5"/>
  <c r="J21" i="5"/>
  <c r="J18" i="5"/>
  <c r="J36" i="5"/>
  <c r="J33" i="5"/>
  <c r="J29" i="5"/>
  <c r="J25" i="5"/>
  <c r="H18" i="5"/>
  <c r="J15" i="5"/>
  <c r="J22" i="5"/>
  <c r="N12" i="5"/>
  <c r="J34" i="5"/>
  <c r="Z18" i="6"/>
  <c r="X18" i="6"/>
  <c r="N29" i="7"/>
  <c r="L29" i="7"/>
  <c r="D18" i="8"/>
  <c r="N22" i="8"/>
  <c r="L22" i="8"/>
  <c r="Z25" i="8"/>
  <c r="X25" i="8"/>
  <c r="Z29" i="8"/>
  <c r="X29" i="8"/>
  <c r="Z33" i="8"/>
  <c r="X33" i="8"/>
  <c r="J91" i="9"/>
  <c r="J85" i="9"/>
  <c r="J79" i="9"/>
  <c r="J63" i="9"/>
  <c r="J55" i="9"/>
  <c r="J49" i="9"/>
  <c r="J41" i="9"/>
  <c r="J33" i="9"/>
  <c r="J29" i="9"/>
  <c r="J21" i="9"/>
  <c r="J88" i="9"/>
  <c r="J84" i="9"/>
  <c r="J72" i="9"/>
  <c r="J60" i="9"/>
  <c r="J52" i="9"/>
  <c r="J46" i="9"/>
  <c r="J40" i="9"/>
  <c r="J32" i="9"/>
  <c r="J28" i="9"/>
  <c r="J20" i="9"/>
  <c r="J16" i="9"/>
  <c r="J101" i="9"/>
  <c r="J95" i="9"/>
  <c r="J87" i="9"/>
  <c r="J83" i="9"/>
  <c r="J75" i="9"/>
  <c r="J71" i="9"/>
  <c r="J67" i="9"/>
  <c r="J57" i="9"/>
  <c r="J43" i="9"/>
  <c r="J39" i="9"/>
  <c r="J27" i="9"/>
  <c r="H16" i="9"/>
  <c r="J90" i="9"/>
  <c r="J82" i="9"/>
  <c r="J78" i="9"/>
  <c r="J74" i="9"/>
  <c r="J70" i="9"/>
  <c r="J66" i="9"/>
  <c r="J62" i="9"/>
  <c r="J54" i="9"/>
  <c r="J48" i="9"/>
  <c r="J38" i="9"/>
  <c r="J26" i="9"/>
  <c r="J18" i="9"/>
  <c r="J99" i="9"/>
  <c r="J93" i="9"/>
  <c r="J81" i="9"/>
  <c r="J77" i="9"/>
  <c r="J69" i="9"/>
  <c r="J65" i="9"/>
  <c r="J59" i="9"/>
  <c r="J51" i="9"/>
  <c r="J45" i="9"/>
  <c r="J37" i="9"/>
  <c r="J31" i="9"/>
  <c r="J25" i="9"/>
  <c r="J19" i="9"/>
  <c r="J92" i="9"/>
  <c r="J86" i="9"/>
  <c r="J80" i="9"/>
  <c r="J64" i="9"/>
  <c r="J56" i="9"/>
  <c r="J42" i="9"/>
  <c r="J36" i="9"/>
  <c r="J24" i="9"/>
  <c r="J14" i="9"/>
  <c r="N12" i="9"/>
  <c r="T97" i="9"/>
  <c r="J23" i="9"/>
  <c r="J35" i="9"/>
  <c r="Z57" i="9"/>
  <c r="Z79" i="9"/>
  <c r="J97" i="9"/>
  <c r="R31" i="10"/>
  <c r="Z58" i="12"/>
  <c r="N93" i="12"/>
  <c r="L93" i="12"/>
  <c r="Z99" i="12"/>
  <c r="X99" i="12"/>
  <c r="V36" i="3"/>
  <c r="V174" i="3"/>
  <c r="Z18" i="9"/>
  <c r="N33" i="11"/>
  <c r="L33" i="11"/>
  <c r="V31" i="3"/>
  <c r="V39" i="3"/>
  <c r="J43" i="3"/>
  <c r="V47" i="3"/>
  <c r="J51" i="3"/>
  <c r="V55" i="3"/>
  <c r="J59" i="3"/>
  <c r="V67" i="3"/>
  <c r="J71" i="3"/>
  <c r="V75" i="3"/>
  <c r="V79" i="3"/>
  <c r="V80" i="3"/>
  <c r="V81" i="3"/>
  <c r="V83" i="3"/>
  <c r="V93" i="3"/>
  <c r="N95" i="3"/>
  <c r="J110" i="3"/>
  <c r="X126" i="3"/>
  <c r="Z126" i="3" s="1"/>
  <c r="J153" i="3"/>
  <c r="Z161" i="3"/>
  <c r="V169" i="3"/>
  <c r="N15" i="7"/>
  <c r="L15" i="7"/>
  <c r="L18" i="9"/>
  <c r="J34" i="9"/>
  <c r="Z46" i="9"/>
  <c r="N48" i="9"/>
  <c r="N51" i="9"/>
  <c r="L73" i="9"/>
  <c r="N73" i="9" s="1"/>
  <c r="Z24" i="10"/>
  <c r="X24" i="10"/>
  <c r="R21" i="11"/>
  <c r="R18" i="11"/>
  <c r="R36" i="11"/>
  <c r="R33" i="11"/>
  <c r="R29" i="11"/>
  <c r="R25" i="11"/>
  <c r="P18" i="11"/>
  <c r="R15" i="11"/>
  <c r="R22" i="11"/>
  <c r="X12" i="11"/>
  <c r="R20" i="11"/>
  <c r="R16" i="11"/>
  <c r="H18" i="11"/>
  <c r="L25" i="11"/>
  <c r="Z25" i="12"/>
  <c r="J34" i="8"/>
  <c r="J31" i="8"/>
  <c r="J27" i="8"/>
  <c r="J24" i="8"/>
  <c r="J21" i="8"/>
  <c r="J18" i="8"/>
  <c r="J36" i="8"/>
  <c r="J33" i="8"/>
  <c r="J29" i="8"/>
  <c r="J25" i="8"/>
  <c r="H18" i="8"/>
  <c r="J15" i="8"/>
  <c r="J22" i="8"/>
  <c r="N12" i="8"/>
  <c r="J170" i="3"/>
  <c r="J163" i="3"/>
  <c r="J151" i="3"/>
  <c r="J145" i="3"/>
  <c r="J127" i="3"/>
  <c r="J119" i="3"/>
  <c r="J101" i="3"/>
  <c r="J89" i="3"/>
  <c r="J83" i="3"/>
  <c r="J180" i="3"/>
  <c r="J175" i="3"/>
  <c r="J166" i="3"/>
  <c r="J162" i="3"/>
  <c r="J156" i="3"/>
  <c r="J150" i="3"/>
  <c r="J136" i="3"/>
  <c r="J124" i="3"/>
  <c r="J116" i="3"/>
  <c r="J106" i="3"/>
  <c r="J94" i="3"/>
  <c r="J172" i="3"/>
  <c r="J159" i="3"/>
  <c r="J149" i="3"/>
  <c r="J141" i="3"/>
  <c r="J131" i="3"/>
  <c r="J121" i="3"/>
  <c r="J113" i="3"/>
  <c r="J109" i="3"/>
  <c r="J103" i="3"/>
  <c r="J97" i="3"/>
  <c r="J91" i="3"/>
  <c r="J184" i="3"/>
  <c r="J169" i="3"/>
  <c r="J148" i="3"/>
  <c r="J144" i="3"/>
  <c r="J140" i="3"/>
  <c r="J126" i="3"/>
  <c r="J118" i="3"/>
  <c r="J112" i="3"/>
  <c r="J108" i="3"/>
  <c r="J100" i="3"/>
  <c r="J96" i="3"/>
  <c r="J88" i="3"/>
  <c r="J80" i="3"/>
  <c r="J174" i="3"/>
  <c r="J165" i="3"/>
  <c r="J161" i="3"/>
  <c r="J155" i="3"/>
  <c r="J147" i="3"/>
  <c r="J143" i="3"/>
  <c r="J139" i="3"/>
  <c r="J135" i="3"/>
  <c r="J123" i="3"/>
  <c r="J115" i="3"/>
  <c r="J111" i="3"/>
  <c r="J105" i="3"/>
  <c r="J99" i="3"/>
  <c r="J93" i="3"/>
  <c r="J87" i="3"/>
  <c r="J171" i="3"/>
  <c r="J158" i="3"/>
  <c r="J154" i="3"/>
  <c r="J146" i="3"/>
  <c r="J138" i="3"/>
  <c r="J134" i="3"/>
  <c r="J130" i="3"/>
  <c r="J120" i="3"/>
  <c r="J102" i="3"/>
  <c r="J90" i="3"/>
  <c r="J28" i="3"/>
  <c r="V32" i="3"/>
  <c r="J36" i="3"/>
  <c r="V40" i="3"/>
  <c r="J44" i="3"/>
  <c r="V48" i="3"/>
  <c r="J52" i="3"/>
  <c r="V56" i="3"/>
  <c r="J60" i="3"/>
  <c r="V68" i="3"/>
  <c r="J72" i="3"/>
  <c r="V76" i="3"/>
  <c r="J78" i="3"/>
  <c r="V82" i="3"/>
  <c r="V88" i="3"/>
  <c r="J95" i="3"/>
  <c r="V96" i="3"/>
  <c r="J114" i="3"/>
  <c r="V120" i="3"/>
  <c r="J137" i="3"/>
  <c r="V140" i="3"/>
  <c r="V144" i="3"/>
  <c r="V161" i="3"/>
  <c r="X172" i="3"/>
  <c r="Z172" i="3" s="1"/>
  <c r="P168" i="3"/>
  <c r="X168" i="3" s="1"/>
  <c r="Z168" i="3" s="1"/>
  <c r="J34" i="4"/>
  <c r="J31" i="4"/>
  <c r="J27" i="4"/>
  <c r="J24" i="4"/>
  <c r="J21" i="4"/>
  <c r="J18" i="4"/>
  <c r="J36" i="4"/>
  <c r="J33" i="4"/>
  <c r="J29" i="4"/>
  <c r="J25" i="4"/>
  <c r="H18" i="4"/>
  <c r="J15" i="4"/>
  <c r="J22" i="4"/>
  <c r="N12" i="4"/>
  <c r="J20" i="4"/>
  <c r="P26" i="6"/>
  <c r="N33" i="7"/>
  <c r="L33" i="7"/>
  <c r="J16" i="8"/>
  <c r="J50" i="9"/>
  <c r="J58" i="9"/>
  <c r="J73" i="9"/>
  <c r="J104" i="9"/>
  <c r="R24" i="10"/>
  <c r="R21" i="10"/>
  <c r="R18" i="10"/>
  <c r="R36" i="10"/>
  <c r="R33" i="10"/>
  <c r="R29" i="10"/>
  <c r="R25" i="10"/>
  <c r="P18" i="10"/>
  <c r="R15" i="10"/>
  <c r="R22" i="10"/>
  <c r="X12" i="10"/>
  <c r="V21" i="10"/>
  <c r="L15" i="11"/>
  <c r="L105" i="12"/>
  <c r="N105" i="12" s="1"/>
  <c r="X111" i="12"/>
  <c r="Z111" i="12" s="1"/>
  <c r="N58" i="18"/>
  <c r="L58" i="18"/>
  <c r="V52" i="3"/>
  <c r="V60" i="3"/>
  <c r="V72" i="3"/>
  <c r="N22" i="7"/>
  <c r="L22" i="7"/>
  <c r="V33" i="3"/>
  <c r="V41" i="3"/>
  <c r="J45" i="3"/>
  <c r="V49" i="3"/>
  <c r="J53" i="3"/>
  <c r="V57" i="3"/>
  <c r="J61" i="3"/>
  <c r="T64" i="3"/>
  <c r="J67" i="3"/>
  <c r="V69" i="3"/>
  <c r="J73" i="3"/>
  <c r="V77" i="3"/>
  <c r="L78" i="3"/>
  <c r="N78" i="3" s="1"/>
  <c r="X105" i="3"/>
  <c r="V109" i="3"/>
  <c r="N118" i="3"/>
  <c r="J133" i="3"/>
  <c r="J152" i="3"/>
  <c r="D168" i="3"/>
  <c r="L168" i="3" s="1"/>
  <c r="N168" i="3" s="1"/>
  <c r="L171" i="3"/>
  <c r="N171" i="3" s="1"/>
  <c r="L12" i="4"/>
  <c r="X25" i="4"/>
  <c r="X29" i="4"/>
  <c r="L20" i="5"/>
  <c r="F29" i="6"/>
  <c r="F26" i="6"/>
  <c r="F20" i="6"/>
  <c r="F16" i="6"/>
  <c r="F24" i="6"/>
  <c r="D16" i="6"/>
  <c r="L12" i="6"/>
  <c r="F22" i="6"/>
  <c r="X28" i="6"/>
  <c r="Z28" i="6" s="1"/>
  <c r="L13" i="7"/>
  <c r="Z21" i="7"/>
  <c r="X21" i="7"/>
  <c r="N18" i="9"/>
  <c r="X51" i="9"/>
  <c r="Z51" i="9" s="1"/>
  <c r="X59" i="9"/>
  <c r="Z59" i="9" s="1"/>
  <c r="N86" i="9"/>
  <c r="L86" i="9"/>
  <c r="V18" i="10"/>
  <c r="V36" i="10"/>
  <c r="V33" i="10"/>
  <c r="V29" i="10"/>
  <c r="V25" i="10"/>
  <c r="T18" i="10"/>
  <c r="V15" i="10"/>
  <c r="V22" i="10"/>
  <c r="V20" i="10"/>
  <c r="V16" i="10"/>
  <c r="Z12" i="10"/>
  <c r="V34" i="10"/>
  <c r="V31" i="10"/>
  <c r="V27" i="10"/>
  <c r="P12" i="12"/>
  <c r="N90" i="12"/>
  <c r="L90" i="12"/>
  <c r="J105" i="12"/>
  <c r="Z107" i="12"/>
  <c r="V111" i="12"/>
  <c r="L113" i="12"/>
  <c r="N113" i="12" s="1"/>
  <c r="V112" i="3"/>
  <c r="Z14" i="6"/>
  <c r="X14" i="6"/>
  <c r="V34" i="3"/>
  <c r="J38" i="3"/>
  <c r="V42" i="3"/>
  <c r="J46" i="3"/>
  <c r="V50" i="3"/>
  <c r="J54" i="3"/>
  <c r="V58" i="3"/>
  <c r="J62" i="3"/>
  <c r="V64" i="3"/>
  <c r="J66" i="3"/>
  <c r="V66" i="3"/>
  <c r="V70" i="3"/>
  <c r="J74" i="3"/>
  <c r="J86" i="3"/>
  <c r="V100" i="3"/>
  <c r="J104" i="3"/>
  <c r="Z105" i="3"/>
  <c r="V113" i="3"/>
  <c r="J117" i="3"/>
  <c r="N142" i="3"/>
  <c r="Z184" i="3"/>
  <c r="X184" i="3"/>
  <c r="J29" i="6"/>
  <c r="J26" i="6"/>
  <c r="J20" i="6"/>
  <c r="J16" i="6"/>
  <c r="H16" i="6"/>
  <c r="J24" i="6"/>
  <c r="J31" i="6"/>
  <c r="J28" i="6"/>
  <c r="J22" i="6"/>
  <c r="J18" i="6"/>
  <c r="J14" i="6"/>
  <c r="N12" i="6"/>
  <c r="L16" i="9"/>
  <c r="X18" i="9"/>
  <c r="X19" i="9"/>
  <c r="Z19" i="9" s="1"/>
  <c r="J30" i="9"/>
  <c r="J47" i="9"/>
  <c r="X48" i="9"/>
  <c r="Z48" i="9" s="1"/>
  <c r="N53" i="9"/>
  <c r="L53" i="9"/>
  <c r="L61" i="9"/>
  <c r="N61" i="9" s="1"/>
  <c r="J76" i="9"/>
  <c r="R31" i="11"/>
  <c r="N59" i="12"/>
  <c r="N81" i="12"/>
  <c r="L81" i="12"/>
  <c r="X87" i="12"/>
  <c r="Z87" i="12" s="1"/>
  <c r="N109" i="12"/>
  <c r="J113" i="12"/>
  <c r="V28" i="3"/>
  <c r="X118" i="3"/>
  <c r="Z118" i="3" s="1"/>
  <c r="N21" i="10"/>
  <c r="L21" i="10"/>
  <c r="V27" i="3"/>
  <c r="V35" i="3"/>
  <c r="V43" i="3"/>
  <c r="V51" i="3"/>
  <c r="V59" i="3"/>
  <c r="H64" i="3"/>
  <c r="V71" i="3"/>
  <c r="J75" i="3"/>
  <c r="J79" i="3"/>
  <c r="J81" i="3"/>
  <c r="J84" i="3"/>
  <c r="J85" i="3"/>
  <c r="V105" i="3"/>
  <c r="N107" i="3"/>
  <c r="V108" i="3"/>
  <c r="N122" i="3"/>
  <c r="Z124" i="3"/>
  <c r="J142" i="3"/>
  <c r="V149" i="3"/>
  <c r="D18" i="4"/>
  <c r="N22" i="4"/>
  <c r="L22" i="4"/>
  <c r="J20" i="5"/>
  <c r="Z25" i="5"/>
  <c r="X25" i="5"/>
  <c r="Z29" i="5"/>
  <c r="X29" i="5"/>
  <c r="Z33" i="5"/>
  <c r="X33" i="5"/>
  <c r="F18" i="6"/>
  <c r="F31" i="6"/>
  <c r="Z15" i="8"/>
  <c r="X15" i="8"/>
  <c r="X31" i="9"/>
  <c r="Z31" i="9" s="1"/>
  <c r="J53" i="9"/>
  <c r="Z55" i="9"/>
  <c r="N57" i="9"/>
  <c r="J61" i="9"/>
  <c r="Z63" i="9"/>
  <c r="N89" i="9"/>
  <c r="L89" i="9"/>
  <c r="R27" i="10"/>
  <c r="R34" i="10"/>
  <c r="N58" i="12"/>
  <c r="X59" i="12"/>
  <c r="Z59" i="12" s="1"/>
  <c r="J81" i="12"/>
  <c r="Z83" i="12"/>
  <c r="V87" i="12"/>
  <c r="Z97" i="12"/>
  <c r="F18" i="4"/>
  <c r="V18" i="4"/>
  <c r="R24" i="4"/>
  <c r="V15" i="5"/>
  <c r="T18" i="5"/>
  <c r="R21" i="5"/>
  <c r="V25" i="5"/>
  <c r="V29" i="5"/>
  <c r="V33" i="5"/>
  <c r="V36" i="5"/>
  <c r="H18" i="7"/>
  <c r="F21" i="7"/>
  <c r="V21" i="7"/>
  <c r="J25" i="7"/>
  <c r="R27" i="7"/>
  <c r="J29" i="7"/>
  <c r="R31" i="7"/>
  <c r="J33" i="7"/>
  <c r="R34" i="7"/>
  <c r="J36" i="7"/>
  <c r="R24" i="8"/>
  <c r="R16" i="9"/>
  <c r="R21" i="9"/>
  <c r="R29" i="9"/>
  <c r="V32" i="9"/>
  <c r="R33" i="9"/>
  <c r="V40" i="9"/>
  <c r="R41" i="9"/>
  <c r="F45" i="9"/>
  <c r="R46" i="9"/>
  <c r="F48" i="9"/>
  <c r="V48" i="9"/>
  <c r="R49" i="9"/>
  <c r="V52" i="9"/>
  <c r="V60" i="9"/>
  <c r="F65" i="9"/>
  <c r="F69" i="9"/>
  <c r="V72" i="9"/>
  <c r="F77" i="9"/>
  <c r="F81" i="9"/>
  <c r="V84" i="9"/>
  <c r="R85" i="9"/>
  <c r="V88" i="9"/>
  <c r="F93" i="9"/>
  <c r="F99" i="9"/>
  <c r="F27" i="10"/>
  <c r="F31" i="10"/>
  <c r="F34" i="10"/>
  <c r="J18" i="11"/>
  <c r="F24" i="11"/>
  <c r="V24" i="11"/>
  <c r="V162" i="12"/>
  <c r="V154" i="12"/>
  <c r="V150" i="12"/>
  <c r="V146" i="12"/>
  <c r="V134" i="12"/>
  <c r="V130" i="12"/>
  <c r="V126" i="12"/>
  <c r="V122" i="12"/>
  <c r="V156" i="12"/>
  <c r="V153" i="12"/>
  <c r="V143" i="12"/>
  <c r="V139" i="12"/>
  <c r="V158" i="12"/>
  <c r="V142" i="12"/>
  <c r="V138" i="12"/>
  <c r="V155" i="12"/>
  <c r="V149" i="12"/>
  <c r="V145" i="12"/>
  <c r="V141" i="12"/>
  <c r="V137" i="12"/>
  <c r="V129" i="12"/>
  <c r="V157" i="12"/>
  <c r="V151" i="12"/>
  <c r="V147" i="12"/>
  <c r="V135" i="12"/>
  <c r="J28" i="12"/>
  <c r="V32" i="12"/>
  <c r="J36" i="12"/>
  <c r="V40" i="12"/>
  <c r="J44" i="12"/>
  <c r="V48" i="12"/>
  <c r="J52" i="12"/>
  <c r="V60" i="12"/>
  <c r="J64" i="12"/>
  <c r="V68" i="12"/>
  <c r="J70" i="12"/>
  <c r="V72" i="12"/>
  <c r="J76" i="12"/>
  <c r="V80" i="12"/>
  <c r="J84" i="12"/>
  <c r="V88" i="12"/>
  <c r="J90" i="12"/>
  <c r="V92" i="12"/>
  <c r="J96" i="12"/>
  <c r="V100" i="12"/>
  <c r="J102" i="12"/>
  <c r="V104" i="12"/>
  <c r="J108" i="12"/>
  <c r="V112" i="12"/>
  <c r="J116" i="12"/>
  <c r="J125" i="12"/>
  <c r="J127" i="12"/>
  <c r="J129" i="12"/>
  <c r="N130" i="12"/>
  <c r="J131" i="12"/>
  <c r="J133" i="12"/>
  <c r="J136" i="12"/>
  <c r="Z141" i="12"/>
  <c r="X141" i="12"/>
  <c r="V144" i="12"/>
  <c r="R21" i="14"/>
  <c r="R18" i="14"/>
  <c r="R36" i="14"/>
  <c r="R33" i="14"/>
  <c r="R29" i="14"/>
  <c r="R25" i="14"/>
  <c r="P18" i="14"/>
  <c r="R15" i="14"/>
  <c r="R22" i="14"/>
  <c r="X12" i="14"/>
  <c r="R20" i="14"/>
  <c r="R16" i="14"/>
  <c r="R24" i="14"/>
  <c r="D12" i="15"/>
  <c r="L18" i="15"/>
  <c r="Z96" i="15"/>
  <c r="N101" i="15"/>
  <c r="Z107" i="15"/>
  <c r="Z112" i="15"/>
  <c r="R27" i="4"/>
  <c r="R31" i="4"/>
  <c r="R34" i="4"/>
  <c r="V24" i="7"/>
  <c r="R27" i="8"/>
  <c r="R31" i="8"/>
  <c r="R34" i="8"/>
  <c r="R22" i="9"/>
  <c r="V29" i="9"/>
  <c r="R30" i="9"/>
  <c r="V33" i="9"/>
  <c r="R34" i="9"/>
  <c r="F38" i="9"/>
  <c r="V41" i="9"/>
  <c r="V49" i="9"/>
  <c r="R50" i="9"/>
  <c r="F54" i="9"/>
  <c r="R55" i="9"/>
  <c r="F57" i="9"/>
  <c r="V57" i="9"/>
  <c r="R58" i="9"/>
  <c r="F62" i="9"/>
  <c r="R63" i="9"/>
  <c r="F66" i="9"/>
  <c r="F70" i="9"/>
  <c r="F74" i="9"/>
  <c r="F78" i="9"/>
  <c r="R79" i="9"/>
  <c r="F82" i="9"/>
  <c r="V85" i="9"/>
  <c r="F90" i="9"/>
  <c r="R91" i="9"/>
  <c r="F95" i="9"/>
  <c r="V95" i="9"/>
  <c r="F101" i="9"/>
  <c r="V101" i="9"/>
  <c r="J21" i="11"/>
  <c r="V27" i="11"/>
  <c r="V31" i="11"/>
  <c r="V34" i="11"/>
  <c r="V33" i="12"/>
  <c r="J37" i="12"/>
  <c r="V41" i="12"/>
  <c r="J45" i="12"/>
  <c r="V49" i="12"/>
  <c r="J53" i="12"/>
  <c r="T56" i="12"/>
  <c r="J59" i="12"/>
  <c r="V61" i="12"/>
  <c r="J65" i="12"/>
  <c r="V69" i="12"/>
  <c r="V73" i="12"/>
  <c r="J77" i="12"/>
  <c r="V85" i="12"/>
  <c r="J87" i="12"/>
  <c r="V89" i="12"/>
  <c r="V97" i="12"/>
  <c r="J99" i="12"/>
  <c r="V101" i="12"/>
  <c r="V109" i="12"/>
  <c r="J111" i="12"/>
  <c r="J117" i="12"/>
  <c r="Z120" i="12"/>
  <c r="J130" i="12"/>
  <c r="V140" i="12"/>
  <c r="N150" i="12"/>
  <c r="N153" i="12"/>
  <c r="Z52" i="15"/>
  <c r="X22" i="17"/>
  <c r="F157" i="18"/>
  <c r="F154" i="18"/>
  <c r="F138" i="18"/>
  <c r="F131" i="18"/>
  <c r="F119" i="18"/>
  <c r="F115" i="18"/>
  <c r="F103" i="18"/>
  <c r="F91" i="18"/>
  <c r="F79" i="18"/>
  <c r="F151" i="18"/>
  <c r="F141" i="18"/>
  <c r="F114" i="18"/>
  <c r="F109" i="18"/>
  <c r="F106" i="18"/>
  <c r="F97" i="18"/>
  <c r="F94" i="18"/>
  <c r="F85" i="18"/>
  <c r="F153" i="18"/>
  <c r="F147" i="18"/>
  <c r="F143" i="18"/>
  <c r="F140" i="18"/>
  <c r="F136" i="18"/>
  <c r="F127" i="18"/>
  <c r="F123" i="18"/>
  <c r="F111" i="18"/>
  <c r="F108" i="18"/>
  <c r="F99" i="18"/>
  <c r="F96" i="18"/>
  <c r="F87" i="18"/>
  <c r="F84" i="18"/>
  <c r="F76" i="18"/>
  <c r="F155" i="18"/>
  <c r="F146" i="18"/>
  <c r="F142" i="18"/>
  <c r="F134" i="18"/>
  <c r="F126" i="18"/>
  <c r="F122" i="18"/>
  <c r="F113" i="18"/>
  <c r="F110" i="18"/>
  <c r="F105" i="18"/>
  <c r="F98" i="18"/>
  <c r="F125" i="18"/>
  <c r="F101" i="18"/>
  <c r="F69" i="18"/>
  <c r="F68" i="18"/>
  <c r="F67" i="18"/>
  <c r="F47" i="18"/>
  <c r="F156" i="18"/>
  <c r="F132" i="18"/>
  <c r="F120" i="18"/>
  <c r="F102" i="18"/>
  <c r="F139" i="18"/>
  <c r="F137" i="18"/>
  <c r="F133" i="18"/>
  <c r="F121" i="18"/>
  <c r="F104" i="18"/>
  <c r="F152" i="18"/>
  <c r="F148" i="18"/>
  <c r="F161" i="18"/>
  <c r="F150" i="18"/>
  <c r="F128" i="18"/>
  <c r="F144" i="18"/>
  <c r="F135" i="18"/>
  <c r="F129" i="18"/>
  <c r="F145" i="18"/>
  <c r="F130" i="18"/>
  <c r="F124" i="18"/>
  <c r="F118" i="18"/>
  <c r="F112" i="18"/>
  <c r="F100" i="18"/>
  <c r="F90" i="18"/>
  <c r="F89" i="18"/>
  <c r="F88" i="18"/>
  <c r="F70" i="18"/>
  <c r="F60" i="18"/>
  <c r="F117" i="18"/>
  <c r="F80" i="18"/>
  <c r="F74" i="18"/>
  <c r="F63" i="18"/>
  <c r="F62" i="18"/>
  <c r="F48" i="18"/>
  <c r="F46" i="18"/>
  <c r="F38" i="18"/>
  <c r="F30" i="18"/>
  <c r="F22" i="18"/>
  <c r="F107" i="18"/>
  <c r="F75" i="18"/>
  <c r="F66" i="18"/>
  <c r="F64" i="18"/>
  <c r="F61" i="18"/>
  <c r="F58" i="18"/>
  <c r="F45" i="18"/>
  <c r="F37" i="18"/>
  <c r="F29" i="18"/>
  <c r="F65" i="18"/>
  <c r="F44" i="18"/>
  <c r="F36" i="18"/>
  <c r="F28" i="18"/>
  <c r="F95" i="18"/>
  <c r="F93" i="18"/>
  <c r="F59" i="18"/>
  <c r="F43" i="18"/>
  <c r="F35" i="18"/>
  <c r="F27" i="18"/>
  <c r="F92" i="18"/>
  <c r="F77" i="18"/>
  <c r="F54" i="18"/>
  <c r="F42" i="18"/>
  <c r="F34" i="18"/>
  <c r="F26" i="18"/>
  <c r="F21" i="18"/>
  <c r="L12" i="18"/>
  <c r="N12" i="18" s="1"/>
  <c r="F116" i="18"/>
  <c r="F71" i="18"/>
  <c r="D56" i="18"/>
  <c r="F56" i="18" s="1"/>
  <c r="F53" i="18"/>
  <c r="F41" i="18"/>
  <c r="F33" i="18"/>
  <c r="F25" i="18"/>
  <c r="F86" i="18"/>
  <c r="F83" i="18"/>
  <c r="F81" i="18"/>
  <c r="F73" i="18"/>
  <c r="F49" i="18"/>
  <c r="F39" i="18"/>
  <c r="F31" i="18"/>
  <c r="F23" i="18"/>
  <c r="F50" i="18"/>
  <c r="F82" i="18"/>
  <c r="R16" i="4"/>
  <c r="R20" i="4"/>
  <c r="F24" i="4"/>
  <c r="V24" i="4"/>
  <c r="V21" i="5"/>
  <c r="R27" i="5"/>
  <c r="R31" i="5"/>
  <c r="R34" i="5"/>
  <c r="T16" i="6"/>
  <c r="X12" i="7"/>
  <c r="J21" i="7"/>
  <c r="F27" i="7"/>
  <c r="V27" i="7"/>
  <c r="F31" i="7"/>
  <c r="V31" i="7"/>
  <c r="F34" i="7"/>
  <c r="V34" i="7"/>
  <c r="R16" i="8"/>
  <c r="R20" i="8"/>
  <c r="F24" i="8"/>
  <c r="V24" i="8"/>
  <c r="V16" i="9"/>
  <c r="V18" i="9"/>
  <c r="V22" i="9"/>
  <c r="R23" i="9"/>
  <c r="F27" i="9"/>
  <c r="V30" i="9"/>
  <c r="V34" i="9"/>
  <c r="R35" i="9"/>
  <c r="F39" i="9"/>
  <c r="F43" i="9"/>
  <c r="R44" i="9"/>
  <c r="F46" i="9"/>
  <c r="V46" i="9"/>
  <c r="R47" i="9"/>
  <c r="V50" i="9"/>
  <c r="V58" i="9"/>
  <c r="F67" i="9"/>
  <c r="R68" i="9"/>
  <c r="F71" i="9"/>
  <c r="F75" i="9"/>
  <c r="R76" i="9"/>
  <c r="F83" i="9"/>
  <c r="F87" i="9"/>
  <c r="J27" i="10"/>
  <c r="J31" i="10"/>
  <c r="J34" i="10"/>
  <c r="Z12" i="11"/>
  <c r="V16" i="11"/>
  <c r="V20" i="11"/>
  <c r="J24" i="11"/>
  <c r="V26" i="12"/>
  <c r="J30" i="12"/>
  <c r="V34" i="12"/>
  <c r="J38" i="12"/>
  <c r="V42" i="12"/>
  <c r="J46" i="12"/>
  <c r="V50" i="12"/>
  <c r="J54" i="12"/>
  <c r="V56" i="12"/>
  <c r="J58" i="12"/>
  <c r="V58" i="12"/>
  <c r="V62" i="12"/>
  <c r="J66" i="12"/>
  <c r="V74" i="12"/>
  <c r="J78" i="12"/>
  <c r="J82" i="12"/>
  <c r="V86" i="12"/>
  <c r="J94" i="12"/>
  <c r="V98" i="12"/>
  <c r="J106" i="12"/>
  <c r="V110" i="12"/>
  <c r="J114" i="12"/>
  <c r="J118" i="12"/>
  <c r="V120" i="12"/>
  <c r="V121" i="12"/>
  <c r="V123" i="12"/>
  <c r="V124" i="12"/>
  <c r="V132" i="12"/>
  <c r="V136" i="12"/>
  <c r="N146" i="12"/>
  <c r="J150" i="12"/>
  <c r="P153" i="12"/>
  <c r="X153" i="12" s="1"/>
  <c r="Z153" i="12" s="1"/>
  <c r="H27" i="14"/>
  <c r="N18" i="14"/>
  <c r="X84" i="15"/>
  <c r="Z144" i="15"/>
  <c r="J24" i="16"/>
  <c r="J21" i="16"/>
  <c r="J18" i="16"/>
  <c r="J36" i="16"/>
  <c r="J33" i="16"/>
  <c r="J29" i="16"/>
  <c r="J25" i="16"/>
  <c r="H18" i="16"/>
  <c r="J15" i="16"/>
  <c r="J22" i="16"/>
  <c r="N12" i="16"/>
  <c r="J34" i="16"/>
  <c r="J31" i="16"/>
  <c r="J27" i="16"/>
  <c r="X29" i="16"/>
  <c r="X12" i="4"/>
  <c r="F27" i="4"/>
  <c r="V27" i="4"/>
  <c r="F31" i="4"/>
  <c r="V31" i="4"/>
  <c r="F34" i="4"/>
  <c r="R16" i="5"/>
  <c r="R20" i="5"/>
  <c r="V24" i="5"/>
  <c r="V16" i="6"/>
  <c r="V20" i="6"/>
  <c r="V26" i="6"/>
  <c r="Z12" i="7"/>
  <c r="F16" i="7"/>
  <c r="V16" i="7"/>
  <c r="F20" i="7"/>
  <c r="V20" i="7"/>
  <c r="R22" i="7"/>
  <c r="J24" i="7"/>
  <c r="X12" i="8"/>
  <c r="F27" i="8"/>
  <c r="V27" i="8"/>
  <c r="F31" i="8"/>
  <c r="V31" i="8"/>
  <c r="F34" i="8"/>
  <c r="V34" i="8"/>
  <c r="X12" i="9"/>
  <c r="F20" i="9"/>
  <c r="V23" i="9"/>
  <c r="R24" i="9"/>
  <c r="F28" i="9"/>
  <c r="F32" i="9"/>
  <c r="V35" i="9"/>
  <c r="R36" i="9"/>
  <c r="F40" i="9"/>
  <c r="V47" i="9"/>
  <c r="F52" i="9"/>
  <c r="R53" i="9"/>
  <c r="F55" i="9"/>
  <c r="V55" i="9"/>
  <c r="R56" i="9"/>
  <c r="F60" i="9"/>
  <c r="R61" i="9"/>
  <c r="F63" i="9"/>
  <c r="V63" i="9"/>
  <c r="R64" i="9"/>
  <c r="F72" i="9"/>
  <c r="R73" i="9"/>
  <c r="F79" i="9"/>
  <c r="V79" i="9"/>
  <c r="R80" i="9"/>
  <c r="F84" i="9"/>
  <c r="F88" i="9"/>
  <c r="R89" i="9"/>
  <c r="F91" i="9"/>
  <c r="V91" i="9"/>
  <c r="R92" i="9"/>
  <c r="R97" i="9"/>
  <c r="R104" i="9"/>
  <c r="J16" i="10"/>
  <c r="J20" i="10"/>
  <c r="F22" i="10"/>
  <c r="J27" i="11"/>
  <c r="J31" i="11"/>
  <c r="J34" i="11"/>
  <c r="D12" i="12"/>
  <c r="J25" i="12"/>
  <c r="V27" i="12"/>
  <c r="J31" i="12"/>
  <c r="V35" i="12"/>
  <c r="J39" i="12"/>
  <c r="V43" i="12"/>
  <c r="J47" i="12"/>
  <c r="V51" i="12"/>
  <c r="H56" i="12"/>
  <c r="V63" i="12"/>
  <c r="J67" i="12"/>
  <c r="J71" i="12"/>
  <c r="V75" i="12"/>
  <c r="J79" i="12"/>
  <c r="V83" i="12"/>
  <c r="J85" i="12"/>
  <c r="J91" i="12"/>
  <c r="V95" i="12"/>
  <c r="J97" i="12"/>
  <c r="J103" i="12"/>
  <c r="V107" i="12"/>
  <c r="J109" i="12"/>
  <c r="V115" i="12"/>
  <c r="J119" i="12"/>
  <c r="X125" i="12"/>
  <c r="Z125" i="12" s="1"/>
  <c r="V127" i="12"/>
  <c r="V128" i="12"/>
  <c r="V131" i="12"/>
  <c r="R34" i="14"/>
  <c r="N21" i="18"/>
  <c r="F24" i="18"/>
  <c r="F16" i="4"/>
  <c r="R22" i="4"/>
  <c r="V27" i="5"/>
  <c r="V31" i="5"/>
  <c r="V34" i="5"/>
  <c r="X16" i="6"/>
  <c r="R15" i="7"/>
  <c r="P18" i="7"/>
  <c r="R25" i="7"/>
  <c r="J27" i="7"/>
  <c r="R29" i="7"/>
  <c r="J31" i="7"/>
  <c r="R33" i="7"/>
  <c r="J34" i="7"/>
  <c r="R36" i="7"/>
  <c r="F16" i="8"/>
  <c r="V16" i="8"/>
  <c r="R22" i="8"/>
  <c r="Z12" i="9"/>
  <c r="R14" i="9"/>
  <c r="Z16" i="9"/>
  <c r="F21" i="9"/>
  <c r="V24" i="9"/>
  <c r="R25" i="9"/>
  <c r="F29" i="9"/>
  <c r="F33" i="9"/>
  <c r="V36" i="9"/>
  <c r="R37" i="9"/>
  <c r="F41" i="9"/>
  <c r="R42" i="9"/>
  <c r="F44" i="9"/>
  <c r="V44" i="9"/>
  <c r="R45" i="9"/>
  <c r="F49" i="9"/>
  <c r="V56" i="9"/>
  <c r="V64" i="9"/>
  <c r="R65" i="9"/>
  <c r="F68" i="9"/>
  <c r="V68" i="9"/>
  <c r="R69" i="9"/>
  <c r="F76" i="9"/>
  <c r="V76" i="9"/>
  <c r="R77" i="9"/>
  <c r="V80" i="9"/>
  <c r="R81" i="9"/>
  <c r="F85" i="9"/>
  <c r="R86" i="9"/>
  <c r="V92" i="9"/>
  <c r="R93" i="9"/>
  <c r="D97" i="9"/>
  <c r="R99" i="9"/>
  <c r="F15" i="10"/>
  <c r="D18" i="10"/>
  <c r="F25" i="10"/>
  <c r="F29" i="10"/>
  <c r="F33" i="10"/>
  <c r="F36" i="10"/>
  <c r="J16" i="11"/>
  <c r="V22" i="11"/>
  <c r="J142" i="12"/>
  <c r="J138" i="12"/>
  <c r="J120" i="12"/>
  <c r="J158" i="12"/>
  <c r="J153" i="12"/>
  <c r="J149" i="12"/>
  <c r="J145" i="12"/>
  <c r="J155" i="12"/>
  <c r="J151" i="12"/>
  <c r="J147" i="12"/>
  <c r="J141" i="12"/>
  <c r="J135" i="12"/>
  <c r="J162" i="12"/>
  <c r="J157" i="12"/>
  <c r="J144" i="12"/>
  <c r="J134" i="12"/>
  <c r="J126" i="12"/>
  <c r="J154" i="12"/>
  <c r="J156" i="12"/>
  <c r="J143" i="12"/>
  <c r="J139" i="12"/>
  <c r="V28" i="12"/>
  <c r="J32" i="12"/>
  <c r="V36" i="12"/>
  <c r="J40" i="12"/>
  <c r="V44" i="12"/>
  <c r="J48" i="12"/>
  <c r="V52" i="12"/>
  <c r="J56" i="12"/>
  <c r="J60" i="12"/>
  <c r="V64" i="12"/>
  <c r="J68" i="12"/>
  <c r="J72" i="12"/>
  <c r="V76" i="12"/>
  <c r="J80" i="12"/>
  <c r="V84" i="12"/>
  <c r="J88" i="12"/>
  <c r="J92" i="12"/>
  <c r="V96" i="12"/>
  <c r="J100" i="12"/>
  <c r="J104" i="12"/>
  <c r="V108" i="12"/>
  <c r="J112" i="12"/>
  <c r="V116" i="12"/>
  <c r="V133" i="12"/>
  <c r="J148" i="12"/>
  <c r="P12" i="15"/>
  <c r="X64" i="15"/>
  <c r="Z75" i="15"/>
  <c r="X124" i="15"/>
  <c r="Z124" i="15" s="1"/>
  <c r="X25" i="16"/>
  <c r="F32" i="18"/>
  <c r="T159" i="18"/>
  <c r="F78" i="18"/>
  <c r="L81" i="18"/>
  <c r="N81" i="18" s="1"/>
  <c r="R15" i="4"/>
  <c r="P18" i="4"/>
  <c r="R25" i="4"/>
  <c r="R29" i="4"/>
  <c r="R33" i="4"/>
  <c r="V16" i="5"/>
  <c r="R18" i="6"/>
  <c r="R22" i="6"/>
  <c r="R28" i="6"/>
  <c r="J16" i="7"/>
  <c r="R15" i="8"/>
  <c r="P18" i="8"/>
  <c r="R25" i="8"/>
  <c r="R29" i="8"/>
  <c r="R33" i="8"/>
  <c r="R19" i="9"/>
  <c r="F22" i="9"/>
  <c r="V25" i="9"/>
  <c r="R26" i="9"/>
  <c r="F30" i="9"/>
  <c r="R31" i="9"/>
  <c r="F34" i="9"/>
  <c r="V37" i="9"/>
  <c r="R38" i="9"/>
  <c r="V45" i="9"/>
  <c r="F50" i="9"/>
  <c r="R51" i="9"/>
  <c r="F53" i="9"/>
  <c r="V53" i="9"/>
  <c r="R54" i="9"/>
  <c r="F58" i="9"/>
  <c r="R59" i="9"/>
  <c r="F61" i="9"/>
  <c r="V61" i="9"/>
  <c r="R62" i="9"/>
  <c r="V65" i="9"/>
  <c r="R66" i="9"/>
  <c r="V69" i="9"/>
  <c r="R70" i="9"/>
  <c r="F73" i="9"/>
  <c r="V73" i="9"/>
  <c r="R74" i="9"/>
  <c r="V77" i="9"/>
  <c r="R78" i="9"/>
  <c r="V81" i="9"/>
  <c r="R82" i="9"/>
  <c r="F89" i="9"/>
  <c r="V89" i="9"/>
  <c r="V93" i="9"/>
  <c r="F97" i="9"/>
  <c r="V97" i="9"/>
  <c r="V99" i="9"/>
  <c r="N12" i="10"/>
  <c r="L12" i="11"/>
  <c r="F15" i="11"/>
  <c r="V15" i="11"/>
  <c r="D18" i="11"/>
  <c r="T18" i="11"/>
  <c r="F25" i="11"/>
  <c r="V25" i="11"/>
  <c r="F29" i="11"/>
  <c r="V29" i="11"/>
  <c r="F33" i="11"/>
  <c r="V33" i="11"/>
  <c r="V29" i="12"/>
  <c r="J33" i="12"/>
  <c r="V37" i="12"/>
  <c r="J41" i="12"/>
  <c r="V45" i="12"/>
  <c r="J49" i="12"/>
  <c r="V53" i="12"/>
  <c r="J61" i="12"/>
  <c r="V65" i="12"/>
  <c r="J69" i="12"/>
  <c r="J73" i="12"/>
  <c r="V77" i="12"/>
  <c r="V81" i="12"/>
  <c r="J83" i="12"/>
  <c r="J89" i="12"/>
  <c r="V93" i="12"/>
  <c r="J95" i="12"/>
  <c r="J101" i="12"/>
  <c r="V105" i="12"/>
  <c r="J107" i="12"/>
  <c r="V113" i="12"/>
  <c r="J115" i="12"/>
  <c r="V117" i="12"/>
  <c r="V18" i="13"/>
  <c r="V36" i="13"/>
  <c r="V33" i="13"/>
  <c r="V29" i="13"/>
  <c r="V25" i="13"/>
  <c r="T18" i="13"/>
  <c r="V15" i="13"/>
  <c r="V22" i="13"/>
  <c r="V20" i="13"/>
  <c r="V16" i="13"/>
  <c r="Z12" i="13"/>
  <c r="V34" i="13"/>
  <c r="V31" i="13"/>
  <c r="V27" i="13"/>
  <c r="V21" i="13"/>
  <c r="X24" i="14"/>
  <c r="Z64" i="15"/>
  <c r="F40" i="18"/>
  <c r="F52" i="18"/>
  <c r="F72" i="18"/>
  <c r="N52" i="15"/>
  <c r="N77" i="15"/>
  <c r="Z99" i="15"/>
  <c r="N132" i="15"/>
  <c r="P144" i="15"/>
  <c r="X144" i="15" s="1"/>
  <c r="X145" i="15"/>
  <c r="Z145" i="15" s="1"/>
  <c r="F34" i="17"/>
  <c r="F31" i="17"/>
  <c r="F27" i="17"/>
  <c r="F24" i="17"/>
  <c r="F21" i="17"/>
  <c r="F18" i="17"/>
  <c r="F36" i="17"/>
  <c r="F33" i="17"/>
  <c r="F29" i="17"/>
  <c r="F25" i="17"/>
  <c r="D18" i="17"/>
  <c r="F15" i="17"/>
  <c r="L12" i="17"/>
  <c r="F22" i="17"/>
  <c r="F20" i="17"/>
  <c r="F16" i="17"/>
  <c r="L20" i="17"/>
  <c r="J15" i="13"/>
  <c r="H18" i="13"/>
  <c r="F21" i="13"/>
  <c r="J25" i="13"/>
  <c r="R27" i="13"/>
  <c r="J29" i="13"/>
  <c r="Z29" i="13"/>
  <c r="R31" i="13"/>
  <c r="J33" i="13"/>
  <c r="Z33" i="13"/>
  <c r="R34" i="13"/>
  <c r="J36" i="13"/>
  <c r="N16" i="14"/>
  <c r="F18" i="14"/>
  <c r="N20" i="14"/>
  <c r="J22" i="14"/>
  <c r="Z22" i="14"/>
  <c r="J26" i="15"/>
  <c r="J34" i="15"/>
  <c r="V38" i="15"/>
  <c r="J42" i="15"/>
  <c r="V46" i="15"/>
  <c r="J54" i="15"/>
  <c r="V58" i="15"/>
  <c r="J62" i="15"/>
  <c r="J66" i="15"/>
  <c r="V70" i="15"/>
  <c r="J74" i="15"/>
  <c r="V78" i="15"/>
  <c r="J82" i="15"/>
  <c r="J86" i="15"/>
  <c r="V90" i="15"/>
  <c r="J94" i="15"/>
  <c r="J98" i="15"/>
  <c r="V102" i="15"/>
  <c r="J106" i="15"/>
  <c r="J110" i="15"/>
  <c r="J114" i="15"/>
  <c r="J118" i="15"/>
  <c r="J122" i="15"/>
  <c r="J126" i="15"/>
  <c r="V130" i="15"/>
  <c r="J132" i="15"/>
  <c r="V134" i="15"/>
  <c r="J138" i="15"/>
  <c r="J142" i="15"/>
  <c r="V144" i="15"/>
  <c r="R25" i="16"/>
  <c r="R29" i="16"/>
  <c r="R33" i="16"/>
  <c r="R36" i="16"/>
  <c r="V26" i="18"/>
  <c r="V34" i="18"/>
  <c r="V42" i="18"/>
  <c r="J62" i="18"/>
  <c r="J63" i="18"/>
  <c r="J74" i="18"/>
  <c r="J79" i="18"/>
  <c r="J80" i="18"/>
  <c r="L99" i="18"/>
  <c r="N99" i="18" s="1"/>
  <c r="V104" i="18"/>
  <c r="Z22" i="32"/>
  <c r="X22" i="32"/>
  <c r="X12" i="13"/>
  <c r="J21" i="13"/>
  <c r="F27" i="13"/>
  <c r="F31" i="13"/>
  <c r="F34" i="13"/>
  <c r="J18" i="14"/>
  <c r="F24" i="14"/>
  <c r="V24" i="14"/>
  <c r="V24" i="15"/>
  <c r="J28" i="15"/>
  <c r="V32" i="15"/>
  <c r="J36" i="15"/>
  <c r="V40" i="15"/>
  <c r="J44" i="15"/>
  <c r="V48" i="15"/>
  <c r="J56" i="15"/>
  <c r="V60" i="15"/>
  <c r="V64" i="15"/>
  <c r="J68" i="15"/>
  <c r="V72" i="15"/>
  <c r="V76" i="15"/>
  <c r="J80" i="15"/>
  <c r="V84" i="15"/>
  <c r="V88" i="15"/>
  <c r="J92" i="15"/>
  <c r="V96" i="15"/>
  <c r="V100" i="15"/>
  <c r="J104" i="15"/>
  <c r="V108" i="15"/>
  <c r="V112" i="15"/>
  <c r="J116" i="15"/>
  <c r="J120" i="15"/>
  <c r="V124" i="15"/>
  <c r="J128" i="15"/>
  <c r="J136" i="15"/>
  <c r="J140" i="15"/>
  <c r="J144" i="15"/>
  <c r="J149" i="15"/>
  <c r="L12" i="16"/>
  <c r="F15" i="16"/>
  <c r="V15" i="16"/>
  <c r="D18" i="16"/>
  <c r="T18" i="16"/>
  <c r="R21" i="16"/>
  <c r="F25" i="16"/>
  <c r="V25" i="16"/>
  <c r="F29" i="16"/>
  <c r="V29" i="16"/>
  <c r="F33" i="16"/>
  <c r="V33" i="16"/>
  <c r="F36" i="16"/>
  <c r="V36" i="16"/>
  <c r="J16" i="17"/>
  <c r="R18" i="17"/>
  <c r="V22" i="17"/>
  <c r="J151" i="18"/>
  <c r="J114" i="18"/>
  <c r="J106" i="18"/>
  <c r="J94" i="18"/>
  <c r="J82" i="18"/>
  <c r="J78" i="18"/>
  <c r="J161" i="18"/>
  <c r="J156" i="18"/>
  <c r="J147" i="18"/>
  <c r="J143" i="18"/>
  <c r="J137" i="18"/>
  <c r="J127" i="18"/>
  <c r="J123" i="18"/>
  <c r="J111" i="18"/>
  <c r="J99" i="18"/>
  <c r="J87" i="18"/>
  <c r="J139" i="18"/>
  <c r="J135" i="18"/>
  <c r="J113" i="18"/>
  <c r="J105" i="18"/>
  <c r="J93" i="18"/>
  <c r="J81" i="18"/>
  <c r="J75" i="18"/>
  <c r="J152" i="18"/>
  <c r="J145" i="18"/>
  <c r="J133" i="18"/>
  <c r="J129" i="18"/>
  <c r="J125" i="18"/>
  <c r="J121" i="18"/>
  <c r="J117" i="18"/>
  <c r="J107" i="18"/>
  <c r="J101" i="18"/>
  <c r="J155" i="18"/>
  <c r="J132" i="18"/>
  <c r="J120" i="18"/>
  <c r="J103" i="18"/>
  <c r="J66" i="18"/>
  <c r="J58" i="18"/>
  <c r="J54" i="18"/>
  <c r="J46" i="18"/>
  <c r="J157" i="18"/>
  <c r="J146" i="18"/>
  <c r="J136" i="18"/>
  <c r="J104" i="18"/>
  <c r="J141" i="18"/>
  <c r="J138" i="18"/>
  <c r="J126" i="18"/>
  <c r="J115" i="18"/>
  <c r="J153" i="18"/>
  <c r="J134" i="18"/>
  <c r="J128" i="18"/>
  <c r="J122" i="18"/>
  <c r="J116" i="18"/>
  <c r="J144" i="18"/>
  <c r="J130" i="18"/>
  <c r="J154" i="18"/>
  <c r="J131" i="18"/>
  <c r="J102" i="18"/>
  <c r="J83" i="18"/>
  <c r="J69" i="18"/>
  <c r="J68" i="18"/>
  <c r="J67" i="18"/>
  <c r="J24" i="18"/>
  <c r="V28" i="18"/>
  <c r="J32" i="18"/>
  <c r="V36" i="18"/>
  <c r="J40" i="18"/>
  <c r="V44" i="18"/>
  <c r="J50" i="18"/>
  <c r="J51" i="18"/>
  <c r="J52" i="18"/>
  <c r="V65" i="18"/>
  <c r="V66" i="18"/>
  <c r="J70" i="18"/>
  <c r="J72" i="18"/>
  <c r="J85" i="18"/>
  <c r="V88" i="18"/>
  <c r="V95" i="18"/>
  <c r="V100" i="18"/>
  <c r="N127" i="18"/>
  <c r="Z141" i="18"/>
  <c r="J148" i="18"/>
  <c r="P18" i="23"/>
  <c r="X15" i="23"/>
  <c r="D153" i="12"/>
  <c r="L153" i="12" s="1"/>
  <c r="F16" i="13"/>
  <c r="F20" i="13"/>
  <c r="R22" i="13"/>
  <c r="J24" i="13"/>
  <c r="J21" i="14"/>
  <c r="F27" i="14"/>
  <c r="V27" i="14"/>
  <c r="F31" i="14"/>
  <c r="V31" i="14"/>
  <c r="F34" i="14"/>
  <c r="V34" i="14"/>
  <c r="V25" i="15"/>
  <c r="J29" i="15"/>
  <c r="V33" i="15"/>
  <c r="J37" i="15"/>
  <c r="V41" i="15"/>
  <c r="J45" i="15"/>
  <c r="V53" i="15"/>
  <c r="J57" i="15"/>
  <c r="V61" i="15"/>
  <c r="V65" i="15"/>
  <c r="J69" i="15"/>
  <c r="V73" i="15"/>
  <c r="J75" i="15"/>
  <c r="V81" i="15"/>
  <c r="V85" i="15"/>
  <c r="J87" i="15"/>
  <c r="V93" i="15"/>
  <c r="V97" i="15"/>
  <c r="J99" i="15"/>
  <c r="V105" i="15"/>
  <c r="J107" i="15"/>
  <c r="V109" i="15"/>
  <c r="V113" i="15"/>
  <c r="V117" i="15"/>
  <c r="V121" i="15"/>
  <c r="V125" i="15"/>
  <c r="J129" i="15"/>
  <c r="J133" i="15"/>
  <c r="V137" i="15"/>
  <c r="V141" i="15"/>
  <c r="V145" i="15"/>
  <c r="V153" i="15"/>
  <c r="F18" i="16"/>
  <c r="V18" i="16"/>
  <c r="R24" i="16"/>
  <c r="V15" i="17"/>
  <c r="T18" i="17"/>
  <c r="R21" i="17"/>
  <c r="V25" i="17"/>
  <c r="V29" i="17"/>
  <c r="V33" i="17"/>
  <c r="V36" i="17"/>
  <c r="V21" i="18"/>
  <c r="J25" i="18"/>
  <c r="V29" i="18"/>
  <c r="J33" i="18"/>
  <c r="V37" i="18"/>
  <c r="J41" i="18"/>
  <c r="V45" i="18"/>
  <c r="V46" i="18"/>
  <c r="V47" i="18"/>
  <c r="J53" i="18"/>
  <c r="H56" i="18"/>
  <c r="L59" i="18"/>
  <c r="N59" i="18" s="1"/>
  <c r="V59" i="18"/>
  <c r="V60" i="18"/>
  <c r="V61" i="18"/>
  <c r="J71" i="18"/>
  <c r="V80" i="18"/>
  <c r="V82" i="18"/>
  <c r="J98" i="18"/>
  <c r="J109" i="18"/>
  <c r="V114" i="18"/>
  <c r="J119" i="18"/>
  <c r="X78" i="25"/>
  <c r="Z78" i="25" s="1"/>
  <c r="R15" i="13"/>
  <c r="P18" i="13"/>
  <c r="R25" i="13"/>
  <c r="J27" i="13"/>
  <c r="R29" i="13"/>
  <c r="J31" i="13"/>
  <c r="R33" i="13"/>
  <c r="J34" i="13"/>
  <c r="R36" i="13"/>
  <c r="F16" i="14"/>
  <c r="F20" i="14"/>
  <c r="V20" i="14"/>
  <c r="J24" i="14"/>
  <c r="J22" i="15"/>
  <c r="V26" i="15"/>
  <c r="J30" i="15"/>
  <c r="V34" i="15"/>
  <c r="J38" i="15"/>
  <c r="V42" i="15"/>
  <c r="J46" i="15"/>
  <c r="V54" i="15"/>
  <c r="J58" i="15"/>
  <c r="V62" i="15"/>
  <c r="J64" i="15"/>
  <c r="V66" i="15"/>
  <c r="J70" i="15"/>
  <c r="V74" i="15"/>
  <c r="J78" i="15"/>
  <c r="V82" i="15"/>
  <c r="J84" i="15"/>
  <c r="V86" i="15"/>
  <c r="J90" i="15"/>
  <c r="V94" i="15"/>
  <c r="J96" i="15"/>
  <c r="V98" i="15"/>
  <c r="J102" i="15"/>
  <c r="V106" i="15"/>
  <c r="V110" i="15"/>
  <c r="J112" i="15"/>
  <c r="V114" i="15"/>
  <c r="V118" i="15"/>
  <c r="V122" i="15"/>
  <c r="J124" i="15"/>
  <c r="V126" i="15"/>
  <c r="J130" i="15"/>
  <c r="J134" i="15"/>
  <c r="V138" i="15"/>
  <c r="V142" i="15"/>
  <c r="J147" i="15"/>
  <c r="V148" i="15"/>
  <c r="F21" i="16"/>
  <c r="V21" i="16"/>
  <c r="R27" i="16"/>
  <c r="R31" i="16"/>
  <c r="R34" i="16"/>
  <c r="R24" i="17"/>
  <c r="V22" i="18"/>
  <c r="V30" i="18"/>
  <c r="V38" i="18"/>
  <c r="V48" i="18"/>
  <c r="V69" i="18"/>
  <c r="J76" i="18"/>
  <c r="J77" i="18"/>
  <c r="V84" i="18"/>
  <c r="J91" i="18"/>
  <c r="J92" i="18"/>
  <c r="J108" i="18"/>
  <c r="J112" i="18"/>
  <c r="V124" i="18"/>
  <c r="J142" i="18"/>
  <c r="J16" i="13"/>
  <c r="J20" i="13"/>
  <c r="J27" i="14"/>
  <c r="J31" i="14"/>
  <c r="J34" i="14"/>
  <c r="J31" i="15"/>
  <c r="J39" i="15"/>
  <c r="V43" i="15"/>
  <c r="J47" i="15"/>
  <c r="T50" i="15"/>
  <c r="J53" i="15"/>
  <c r="V55" i="15"/>
  <c r="J59" i="15"/>
  <c r="V63" i="15"/>
  <c r="V67" i="15"/>
  <c r="J71" i="15"/>
  <c r="V79" i="15"/>
  <c r="J81" i="15"/>
  <c r="V83" i="15"/>
  <c r="V91" i="15"/>
  <c r="J93" i="15"/>
  <c r="V95" i="15"/>
  <c r="V103" i="15"/>
  <c r="J105" i="15"/>
  <c r="V111" i="15"/>
  <c r="V115" i="15"/>
  <c r="J117" i="15"/>
  <c r="V119" i="15"/>
  <c r="J121" i="15"/>
  <c r="V123" i="15"/>
  <c r="V127" i="15"/>
  <c r="J131" i="15"/>
  <c r="V135" i="15"/>
  <c r="J137" i="15"/>
  <c r="V139" i="15"/>
  <c r="J141" i="15"/>
  <c r="R16" i="16"/>
  <c r="R20" i="16"/>
  <c r="F24" i="16"/>
  <c r="V24" i="16"/>
  <c r="H18" i="17"/>
  <c r="V21" i="17"/>
  <c r="R27" i="17"/>
  <c r="R31" i="17"/>
  <c r="R34" i="17"/>
  <c r="P12" i="18"/>
  <c r="J21" i="18"/>
  <c r="V23" i="18"/>
  <c r="V31" i="18"/>
  <c r="V39" i="18"/>
  <c r="V49" i="18"/>
  <c r="V51" i="18"/>
  <c r="X85" i="18"/>
  <c r="X87" i="18"/>
  <c r="Z87" i="18" s="1"/>
  <c r="N93" i="18"/>
  <c r="J96" i="18"/>
  <c r="J97" i="18"/>
  <c r="N123" i="18"/>
  <c r="L12" i="13"/>
  <c r="D18" i="13"/>
  <c r="R21" i="13"/>
  <c r="F25" i="13"/>
  <c r="F29" i="13"/>
  <c r="F33" i="13"/>
  <c r="F36" i="13"/>
  <c r="J16" i="14"/>
  <c r="F22" i="14"/>
  <c r="J24" i="15"/>
  <c r="V28" i="15"/>
  <c r="J32" i="15"/>
  <c r="V36" i="15"/>
  <c r="J40" i="15"/>
  <c r="V44" i="15"/>
  <c r="J48" i="15"/>
  <c r="J52" i="15"/>
  <c r="V52" i="15"/>
  <c r="V56" i="15"/>
  <c r="J60" i="15"/>
  <c r="V68" i="15"/>
  <c r="J72" i="15"/>
  <c r="J76" i="15"/>
  <c r="V80" i="15"/>
  <c r="J88" i="15"/>
  <c r="V92" i="15"/>
  <c r="J100" i="15"/>
  <c r="V104" i="15"/>
  <c r="J108" i="15"/>
  <c r="V116" i="15"/>
  <c r="V120" i="15"/>
  <c r="V128" i="15"/>
  <c r="V132" i="15"/>
  <c r="V136" i="15"/>
  <c r="V140" i="15"/>
  <c r="J145" i="15"/>
  <c r="V146" i="15"/>
  <c r="X12" i="16"/>
  <c r="X24" i="16"/>
  <c r="F27" i="16"/>
  <c r="V27" i="16"/>
  <c r="F31" i="16"/>
  <c r="V31" i="16"/>
  <c r="F34" i="16"/>
  <c r="V34" i="16"/>
  <c r="L15" i="17"/>
  <c r="R16" i="17"/>
  <c r="R20" i="17"/>
  <c r="X21" i="17"/>
  <c r="V24" i="17"/>
  <c r="L25" i="17"/>
  <c r="L29" i="17"/>
  <c r="L33" i="17"/>
  <c r="V155" i="18"/>
  <c r="V152" i="18"/>
  <c r="V146" i="18"/>
  <c r="V142" i="18"/>
  <c r="V138" i="18"/>
  <c r="V134" i="18"/>
  <c r="V126" i="18"/>
  <c r="V122" i="18"/>
  <c r="V110" i="18"/>
  <c r="V98" i="18"/>
  <c r="V86" i="18"/>
  <c r="V74" i="18"/>
  <c r="V157" i="18"/>
  <c r="V145" i="18"/>
  <c r="V141" i="18"/>
  <c r="V133" i="18"/>
  <c r="V129" i="18"/>
  <c r="V125" i="18"/>
  <c r="V121" i="18"/>
  <c r="V117" i="18"/>
  <c r="V109" i="18"/>
  <c r="V101" i="18"/>
  <c r="V97" i="18"/>
  <c r="V89" i="18"/>
  <c r="V85" i="18"/>
  <c r="V151" i="18"/>
  <c r="V147" i="18"/>
  <c r="V143" i="18"/>
  <c r="V131" i="18"/>
  <c r="V127" i="18"/>
  <c r="V123" i="18"/>
  <c r="V119" i="18"/>
  <c r="V115" i="18"/>
  <c r="V111" i="18"/>
  <c r="V103" i="18"/>
  <c r="V99" i="18"/>
  <c r="V91" i="18"/>
  <c r="V87" i="18"/>
  <c r="V79" i="18"/>
  <c r="V71" i="18"/>
  <c r="V67" i="18"/>
  <c r="V161" i="18"/>
  <c r="V159" i="18"/>
  <c r="V153" i="18"/>
  <c r="V137" i="18"/>
  <c r="V113" i="18"/>
  <c r="V105" i="18"/>
  <c r="V150" i="18"/>
  <c r="V148" i="18"/>
  <c r="V140" i="18"/>
  <c r="V96" i="18"/>
  <c r="V90" i="18"/>
  <c r="V78" i="18"/>
  <c r="V76" i="18"/>
  <c r="V75" i="18"/>
  <c r="V72" i="18"/>
  <c r="V62" i="18"/>
  <c r="V58" i="18"/>
  <c r="V56" i="18"/>
  <c r="V50" i="18"/>
  <c r="V130" i="18"/>
  <c r="V128" i="18"/>
  <c r="V118" i="18"/>
  <c r="V116" i="18"/>
  <c r="V108" i="18"/>
  <c r="V106" i="18"/>
  <c r="V144" i="18"/>
  <c r="V135" i="18"/>
  <c r="V156" i="18"/>
  <c r="V132" i="18"/>
  <c r="V136" i="18"/>
  <c r="V139" i="18"/>
  <c r="V107" i="18"/>
  <c r="V93" i="18"/>
  <c r="V77" i="18"/>
  <c r="V73" i="18"/>
  <c r="V70" i="18"/>
  <c r="V63" i="18"/>
  <c r="L21" i="18"/>
  <c r="V24" i="18"/>
  <c r="V32" i="18"/>
  <c r="V40" i="18"/>
  <c r="V52" i="18"/>
  <c r="J59" i="18"/>
  <c r="J65" i="18"/>
  <c r="V68" i="18"/>
  <c r="V81" i="18"/>
  <c r="V83" i="18"/>
  <c r="Z85" i="18"/>
  <c r="J89" i="18"/>
  <c r="J90" i="18"/>
  <c r="J95" i="18"/>
  <c r="Z105" i="18"/>
  <c r="J118" i="18"/>
  <c r="Z20" i="24"/>
  <c r="X20" i="24"/>
  <c r="N12" i="13"/>
  <c r="L12" i="14"/>
  <c r="F15" i="14"/>
  <c r="V15" i="14"/>
  <c r="D18" i="14"/>
  <c r="T18" i="14"/>
  <c r="F25" i="14"/>
  <c r="V25" i="14"/>
  <c r="F29" i="14"/>
  <c r="V29" i="14"/>
  <c r="F33" i="14"/>
  <c r="V33" i="14"/>
  <c r="V21" i="15"/>
  <c r="J25" i="15"/>
  <c r="V29" i="15"/>
  <c r="J33" i="15"/>
  <c r="V37" i="15"/>
  <c r="J41" i="15"/>
  <c r="V45" i="15"/>
  <c r="H50" i="15"/>
  <c r="V57" i="15"/>
  <c r="J61" i="15"/>
  <c r="J65" i="15"/>
  <c r="V69" i="15"/>
  <c r="J73" i="15"/>
  <c r="V77" i="15"/>
  <c r="J79" i="15"/>
  <c r="J85" i="15"/>
  <c r="V89" i="15"/>
  <c r="J91" i="15"/>
  <c r="J97" i="15"/>
  <c r="V101" i="15"/>
  <c r="J103" i="15"/>
  <c r="J109" i="15"/>
  <c r="J113" i="15"/>
  <c r="J125" i="15"/>
  <c r="V129" i="15"/>
  <c r="V133" i="15"/>
  <c r="J135" i="15"/>
  <c r="D144" i="15"/>
  <c r="L144" i="15" s="1"/>
  <c r="N144" i="15" s="1"/>
  <c r="J148" i="15"/>
  <c r="V149" i="15"/>
  <c r="Z12" i="16"/>
  <c r="F16" i="16"/>
  <c r="V16" i="16"/>
  <c r="V27" i="17"/>
  <c r="V31" i="17"/>
  <c r="V25" i="18"/>
  <c r="V33" i="18"/>
  <c r="V41" i="18"/>
  <c r="V53" i="18"/>
  <c r="V54" i="18"/>
  <c r="J60" i="18"/>
  <c r="J61" i="18"/>
  <c r="J64" i="18"/>
  <c r="X81" i="18"/>
  <c r="Z81" i="18" s="1"/>
  <c r="J88" i="18"/>
  <c r="V92" i="18"/>
  <c r="V94" i="18"/>
  <c r="L95" i="18"/>
  <c r="N95" i="18" s="1"/>
  <c r="J100" i="18"/>
  <c r="V102" i="18"/>
  <c r="X105" i="18"/>
  <c r="N107" i="18"/>
  <c r="L107" i="18"/>
  <c r="V112" i="18"/>
  <c r="X113" i="18"/>
  <c r="Z113" i="18" s="1"/>
  <c r="L138" i="18"/>
  <c r="N138" i="18" s="1"/>
  <c r="Z20" i="27"/>
  <c r="X20" i="27"/>
  <c r="L87" i="18"/>
  <c r="N87" i="18" s="1"/>
  <c r="N113" i="18"/>
  <c r="X141" i="18"/>
  <c r="Z147" i="18"/>
  <c r="Z33" i="20"/>
  <c r="X33" i="20"/>
  <c r="J74" i="21"/>
  <c r="J78" i="21"/>
  <c r="J82" i="21"/>
  <c r="X87" i="21"/>
  <c r="Z87" i="21" s="1"/>
  <c r="R25" i="22"/>
  <c r="R31" i="22"/>
  <c r="Z16" i="24"/>
  <c r="X16" i="24"/>
  <c r="L22" i="24"/>
  <c r="D12" i="25"/>
  <c r="L16" i="25"/>
  <c r="X34" i="25"/>
  <c r="Z34" i="25" s="1"/>
  <c r="X15" i="26"/>
  <c r="L33" i="26"/>
  <c r="N34" i="26"/>
  <c r="L34" i="26"/>
  <c r="X13" i="27"/>
  <c r="L22" i="27"/>
  <c r="N24" i="27"/>
  <c r="L24" i="27"/>
  <c r="T125" i="28"/>
  <c r="N21" i="95"/>
  <c r="L21" i="95"/>
  <c r="V20" i="20"/>
  <c r="V16" i="20"/>
  <c r="Z12" i="20"/>
  <c r="V34" i="20"/>
  <c r="V31" i="20"/>
  <c r="V27" i="20"/>
  <c r="X12" i="20"/>
  <c r="V21" i="20"/>
  <c r="V18" i="20"/>
  <c r="V36" i="20"/>
  <c r="V33" i="20"/>
  <c r="V29" i="20"/>
  <c r="V25" i="20"/>
  <c r="T18" i="20"/>
  <c r="V15" i="20"/>
  <c r="D12" i="21"/>
  <c r="L13" i="21"/>
  <c r="N13" i="21" s="1"/>
  <c r="X59" i="21"/>
  <c r="L61" i="21"/>
  <c r="X67" i="21"/>
  <c r="L69" i="21"/>
  <c r="N95" i="21"/>
  <c r="L95" i="21"/>
  <c r="X89" i="25"/>
  <c r="Z89" i="25" s="1"/>
  <c r="P87" i="25"/>
  <c r="X87" i="25" s="1"/>
  <c r="Z87" i="25" s="1"/>
  <c r="Z16" i="27"/>
  <c r="X16" i="27"/>
  <c r="D12" i="28"/>
  <c r="L16" i="28"/>
  <c r="N43" i="28"/>
  <c r="X112" i="36"/>
  <c r="Z112" i="36" s="1"/>
  <c r="N20" i="21"/>
  <c r="Z59" i="21"/>
  <c r="N61" i="21"/>
  <c r="X63" i="21"/>
  <c r="Z63" i="21" s="1"/>
  <c r="L65" i="21"/>
  <c r="N65" i="21" s="1"/>
  <c r="Z67" i="21"/>
  <c r="N69" i="21"/>
  <c r="Z22" i="22"/>
  <c r="X22" i="22"/>
  <c r="Z60" i="25"/>
  <c r="L127" i="18"/>
  <c r="L24" i="19"/>
  <c r="T97" i="21"/>
  <c r="J56" i="21"/>
  <c r="N73" i="21"/>
  <c r="F20" i="22"/>
  <c r="F16" i="22"/>
  <c r="F34" i="22"/>
  <c r="F31" i="22"/>
  <c r="F27" i="22"/>
  <c r="F24" i="22"/>
  <c r="F18" i="22"/>
  <c r="F36" i="22"/>
  <c r="F33" i="22"/>
  <c r="F29" i="22"/>
  <c r="F25" i="22"/>
  <c r="D18" i="22"/>
  <c r="F15" i="22"/>
  <c r="L12" i="22"/>
  <c r="F22" i="22"/>
  <c r="N16" i="22"/>
  <c r="L16" i="22"/>
  <c r="X21" i="23"/>
  <c r="L15" i="26"/>
  <c r="X21" i="26"/>
  <c r="N42" i="28"/>
  <c r="J42" i="28"/>
  <c r="X75" i="34"/>
  <c r="Z75" i="34" s="1"/>
  <c r="N77" i="34"/>
  <c r="L77" i="34"/>
  <c r="Z99" i="18"/>
  <c r="N105" i="18"/>
  <c r="Z111" i="18"/>
  <c r="Z123" i="18"/>
  <c r="P150" i="18"/>
  <c r="X150" i="18" s="1"/>
  <c r="Z150" i="18" s="1"/>
  <c r="R18" i="19"/>
  <c r="R36" i="19"/>
  <c r="R33" i="19"/>
  <c r="R29" i="19"/>
  <c r="R25" i="19"/>
  <c r="P18" i="19"/>
  <c r="R15" i="19"/>
  <c r="R22" i="19"/>
  <c r="R20" i="19"/>
  <c r="R16" i="19"/>
  <c r="R34" i="19"/>
  <c r="R31" i="19"/>
  <c r="R27" i="19"/>
  <c r="R24" i="19"/>
  <c r="N22" i="19"/>
  <c r="L22" i="19"/>
  <c r="Z15" i="20"/>
  <c r="X15" i="20"/>
  <c r="Z25" i="20"/>
  <c r="X25" i="20"/>
  <c r="X34" i="20"/>
  <c r="J28" i="21"/>
  <c r="Z39" i="21"/>
  <c r="Z73" i="21"/>
  <c r="R22" i="22"/>
  <c r="X12" i="22"/>
  <c r="R20" i="22"/>
  <c r="R16" i="22"/>
  <c r="R24" i="22"/>
  <c r="R21" i="22"/>
  <c r="R18" i="22"/>
  <c r="R15" i="22"/>
  <c r="R27" i="22"/>
  <c r="N34" i="25"/>
  <c r="N84" i="25"/>
  <c r="L84" i="25"/>
  <c r="L29" i="26"/>
  <c r="V125" i="28"/>
  <c r="F72" i="31"/>
  <c r="F64" i="31"/>
  <c r="F61" i="31"/>
  <c r="F57" i="31"/>
  <c r="F45" i="31"/>
  <c r="F37" i="31"/>
  <c r="F33" i="31"/>
  <c r="D23" i="31"/>
  <c r="F21" i="31"/>
  <c r="F80" i="31"/>
  <c r="F60" i="31"/>
  <c r="F51" i="31"/>
  <c r="F48" i="31"/>
  <c r="F44" i="31"/>
  <c r="F32" i="31"/>
  <c r="F20" i="31"/>
  <c r="F71" i="31"/>
  <c r="F66" i="31"/>
  <c r="F63" i="31"/>
  <c r="F59" i="31"/>
  <c r="F43" i="31"/>
  <c r="F31" i="31"/>
  <c r="F26" i="31"/>
  <c r="F25" i="31"/>
  <c r="F70" i="31"/>
  <c r="F53" i="31"/>
  <c r="F50" i="31"/>
  <c r="F42" i="31"/>
  <c r="F30" i="31"/>
  <c r="F73" i="31"/>
  <c r="F69" i="31"/>
  <c r="F65" i="31"/>
  <c r="F56" i="31"/>
  <c r="F41" i="31"/>
  <c r="F36" i="31"/>
  <c r="F29" i="31"/>
  <c r="F68" i="31"/>
  <c r="F52" i="31"/>
  <c r="F47" i="31"/>
  <c r="F40" i="31"/>
  <c r="F28" i="31"/>
  <c r="F19" i="31"/>
  <c r="F76" i="31"/>
  <c r="F67" i="31"/>
  <c r="F62" i="31"/>
  <c r="F58" i="31"/>
  <c r="F55" i="31"/>
  <c r="F39" i="31"/>
  <c r="F35" i="31"/>
  <c r="F27" i="31"/>
  <c r="F49" i="31"/>
  <c r="L12" i="31"/>
  <c r="N12" i="31" s="1"/>
  <c r="F54" i="31"/>
  <c r="F46" i="31"/>
  <c r="F34" i="31"/>
  <c r="F23" i="31"/>
  <c r="Z143" i="18"/>
  <c r="Z13" i="19"/>
  <c r="X13" i="19"/>
  <c r="R21" i="19"/>
  <c r="V24" i="20"/>
  <c r="J99" i="21"/>
  <c r="J93" i="21"/>
  <c r="J87" i="21"/>
  <c r="J81" i="21"/>
  <c r="J77" i="21"/>
  <c r="J67" i="21"/>
  <c r="J59" i="21"/>
  <c r="J53" i="21"/>
  <c r="J45" i="21"/>
  <c r="J39" i="21"/>
  <c r="J33" i="21"/>
  <c r="J21" i="21"/>
  <c r="J90" i="21"/>
  <c r="J64" i="21"/>
  <c r="J50" i="21"/>
  <c r="J44" i="21"/>
  <c r="J32" i="21"/>
  <c r="J73" i="21"/>
  <c r="J69" i="21"/>
  <c r="J61" i="21"/>
  <c r="J55" i="21"/>
  <c r="J43" i="21"/>
  <c r="J31" i="21"/>
  <c r="J89" i="21"/>
  <c r="J85" i="21"/>
  <c r="J63" i="21"/>
  <c r="J57" i="21"/>
  <c r="J49" i="21"/>
  <c r="J41" i="21"/>
  <c r="J37" i="21"/>
  <c r="J29" i="21"/>
  <c r="J88" i="21"/>
  <c r="J84" i="21"/>
  <c r="J72" i="21"/>
  <c r="J68" i="21"/>
  <c r="J60" i="21"/>
  <c r="J54" i="21"/>
  <c r="J48" i="21"/>
  <c r="J40" i="21"/>
  <c r="J36" i="21"/>
  <c r="H25" i="21"/>
  <c r="J95" i="21"/>
  <c r="J91" i="21"/>
  <c r="J83" i="21"/>
  <c r="J79" i="21"/>
  <c r="J75" i="21"/>
  <c r="J71" i="21"/>
  <c r="J65" i="21"/>
  <c r="J51" i="21"/>
  <c r="J47" i="21"/>
  <c r="J35" i="21"/>
  <c r="J27" i="21"/>
  <c r="J23" i="21"/>
  <c r="N27" i="21"/>
  <c r="J46" i="21"/>
  <c r="J86" i="21"/>
  <c r="N20" i="22"/>
  <c r="L20" i="22"/>
  <c r="F21" i="22"/>
  <c r="R33" i="22"/>
  <c r="N13" i="24"/>
  <c r="L13" i="24"/>
  <c r="N56" i="25"/>
  <c r="L56" i="25"/>
  <c r="J56" i="25"/>
  <c r="Z42" i="28"/>
  <c r="J34" i="37"/>
  <c r="J31" i="37"/>
  <c r="J27" i="37"/>
  <c r="J24" i="37"/>
  <c r="J21" i="37"/>
  <c r="J36" i="37"/>
  <c r="J33" i="37"/>
  <c r="J29" i="37"/>
  <c r="J25" i="37"/>
  <c r="H18" i="37"/>
  <c r="J15" i="37"/>
  <c r="J16" i="37"/>
  <c r="J18" i="37"/>
  <c r="J22" i="37"/>
  <c r="J20" i="37"/>
  <c r="N12" i="37"/>
  <c r="N83" i="18"/>
  <c r="Z93" i="18"/>
  <c r="X97" i="18"/>
  <c r="Z97" i="18" s="1"/>
  <c r="X109" i="18"/>
  <c r="Z109" i="18" s="1"/>
  <c r="Z127" i="18"/>
  <c r="X12" i="19"/>
  <c r="J34" i="20"/>
  <c r="J31" i="20"/>
  <c r="J27" i="20"/>
  <c r="J24" i="20"/>
  <c r="J21" i="20"/>
  <c r="J36" i="20"/>
  <c r="J33" i="20"/>
  <c r="J29" i="20"/>
  <c r="J25" i="20"/>
  <c r="H18" i="20"/>
  <c r="J15" i="20"/>
  <c r="J22" i="20"/>
  <c r="N12" i="20"/>
  <c r="J20" i="20"/>
  <c r="L21" i="20"/>
  <c r="Z29" i="20"/>
  <c r="X29" i="20"/>
  <c r="V95" i="21"/>
  <c r="V89" i="21"/>
  <c r="V85" i="21"/>
  <c r="V65" i="21"/>
  <c r="V57" i="21"/>
  <c r="V49" i="21"/>
  <c r="V41" i="21"/>
  <c r="V37" i="21"/>
  <c r="V29" i="21"/>
  <c r="V88" i="21"/>
  <c r="V84" i="21"/>
  <c r="V72" i="21"/>
  <c r="V68" i="21"/>
  <c r="V60" i="21"/>
  <c r="V56" i="21"/>
  <c r="V48" i="21"/>
  <c r="V40" i="21"/>
  <c r="V36" i="21"/>
  <c r="V28" i="21"/>
  <c r="V91" i="21"/>
  <c r="V87" i="21"/>
  <c r="V83" i="21"/>
  <c r="V79" i="21"/>
  <c r="V75" i="21"/>
  <c r="V71" i="21"/>
  <c r="V67" i="21"/>
  <c r="V59" i="21"/>
  <c r="V51" i="21"/>
  <c r="V47" i="21"/>
  <c r="V39" i="21"/>
  <c r="V35" i="21"/>
  <c r="V23" i="21"/>
  <c r="V99" i="21"/>
  <c r="V97" i="21"/>
  <c r="V93" i="21"/>
  <c r="V81" i="21"/>
  <c r="V77" i="21"/>
  <c r="V73" i="21"/>
  <c r="V69" i="21"/>
  <c r="V61" i="21"/>
  <c r="V53" i="21"/>
  <c r="V45" i="21"/>
  <c r="V33" i="21"/>
  <c r="V21" i="21"/>
  <c r="V92" i="21"/>
  <c r="V80" i="21"/>
  <c r="V76" i="21"/>
  <c r="V64" i="21"/>
  <c r="V52" i="21"/>
  <c r="V44" i="21"/>
  <c r="V32" i="21"/>
  <c r="V20" i="21"/>
  <c r="V63" i="21"/>
  <c r="V55" i="21"/>
  <c r="V43" i="21"/>
  <c r="V31" i="21"/>
  <c r="V27" i="21"/>
  <c r="V25" i="21"/>
  <c r="V22" i="21"/>
  <c r="X27" i="21"/>
  <c r="Z27" i="21" s="1"/>
  <c r="J30" i="21"/>
  <c r="V34" i="21"/>
  <c r="J42" i="21"/>
  <c r="J52" i="21"/>
  <c r="J58" i="21"/>
  <c r="J62" i="21"/>
  <c r="J66" i="21"/>
  <c r="J70" i="21"/>
  <c r="J76" i="21"/>
  <c r="J80" i="21"/>
  <c r="R34" i="22"/>
  <c r="L33" i="23"/>
  <c r="N34" i="23"/>
  <c r="L34" i="23"/>
  <c r="X13" i="24"/>
  <c r="N24" i="24"/>
  <c r="L24" i="24"/>
  <c r="L60" i="25"/>
  <c r="N60" i="25" s="1"/>
  <c r="Z62" i="25"/>
  <c r="X62" i="25"/>
  <c r="N64" i="25"/>
  <c r="L64" i="25"/>
  <c r="J64" i="25"/>
  <c r="L88" i="25"/>
  <c r="N88" i="25" s="1"/>
  <c r="D87" i="25"/>
  <c r="L87" i="25" s="1"/>
  <c r="N87" i="25" s="1"/>
  <c r="N13" i="27"/>
  <c r="L13" i="27"/>
  <c r="N13" i="30"/>
  <c r="L13" i="30"/>
  <c r="N12" i="19"/>
  <c r="J22" i="19"/>
  <c r="L12" i="20"/>
  <c r="F15" i="20"/>
  <c r="D18" i="20"/>
  <c r="F25" i="20"/>
  <c r="F29" i="20"/>
  <c r="F33" i="20"/>
  <c r="F36" i="20"/>
  <c r="J16" i="22"/>
  <c r="J20" i="22"/>
  <c r="J27" i="23"/>
  <c r="J31" i="23"/>
  <c r="J34" i="23"/>
  <c r="Z12" i="24"/>
  <c r="F16" i="24"/>
  <c r="V16" i="24"/>
  <c r="F20" i="24"/>
  <c r="V20" i="24"/>
  <c r="V22" i="25"/>
  <c r="V34" i="25"/>
  <c r="V42" i="25"/>
  <c r="V46" i="25"/>
  <c r="V54" i="25"/>
  <c r="V62" i="25"/>
  <c r="V66" i="25"/>
  <c r="J70" i="25"/>
  <c r="J74" i="25"/>
  <c r="V78" i="25"/>
  <c r="V82" i="25"/>
  <c r="J84" i="25"/>
  <c r="J27" i="26"/>
  <c r="J31" i="26"/>
  <c r="J34" i="26"/>
  <c r="Z12" i="27"/>
  <c r="F16" i="27"/>
  <c r="V16" i="27"/>
  <c r="F20" i="27"/>
  <c r="V20" i="27"/>
  <c r="V22" i="28"/>
  <c r="V30" i="28"/>
  <c r="V38" i="28"/>
  <c r="V49" i="28"/>
  <c r="N64" i="28"/>
  <c r="X70" i="28"/>
  <c r="N84" i="28"/>
  <c r="L100" i="28"/>
  <c r="V101" i="28"/>
  <c r="F20" i="32"/>
  <c r="F16" i="32"/>
  <c r="F34" i="32"/>
  <c r="F31" i="32"/>
  <c r="F27" i="32"/>
  <c r="F24" i="32"/>
  <c r="F21" i="32"/>
  <c r="F18" i="32"/>
  <c r="F36" i="32"/>
  <c r="F33" i="32"/>
  <c r="F29" i="32"/>
  <c r="F25" i="32"/>
  <c r="D18" i="32"/>
  <c r="F15" i="32"/>
  <c r="L12" i="32"/>
  <c r="F22" i="32"/>
  <c r="X55" i="34"/>
  <c r="Z55" i="34" s="1"/>
  <c r="X13" i="43"/>
  <c r="Z13" i="43"/>
  <c r="J25" i="19"/>
  <c r="J29" i="19"/>
  <c r="J33" i="19"/>
  <c r="J36" i="19"/>
  <c r="J16" i="23"/>
  <c r="J20" i="23"/>
  <c r="V23" i="25"/>
  <c r="V35" i="25"/>
  <c r="V43" i="25"/>
  <c r="V47" i="25"/>
  <c r="V55" i="25"/>
  <c r="V63" i="25"/>
  <c r="V71" i="25"/>
  <c r="V75" i="25"/>
  <c r="V79" i="25"/>
  <c r="V83" i="25"/>
  <c r="V89" i="25"/>
  <c r="J16" i="26"/>
  <c r="J20" i="26"/>
  <c r="V23" i="28"/>
  <c r="V31" i="28"/>
  <c r="V66" i="28"/>
  <c r="V73" i="28"/>
  <c r="N100" i="28"/>
  <c r="Z75" i="31"/>
  <c r="Z19" i="34"/>
  <c r="X87" i="34"/>
  <c r="Z87" i="34" s="1"/>
  <c r="N89" i="34"/>
  <c r="L89" i="34"/>
  <c r="J18" i="19"/>
  <c r="F21" i="20"/>
  <c r="R27" i="20"/>
  <c r="R31" i="20"/>
  <c r="R34" i="20"/>
  <c r="P12" i="21"/>
  <c r="N12" i="22"/>
  <c r="V18" i="22"/>
  <c r="J22" i="22"/>
  <c r="L12" i="23"/>
  <c r="F15" i="23"/>
  <c r="D18" i="23"/>
  <c r="T18" i="23"/>
  <c r="R21" i="23"/>
  <c r="F25" i="23"/>
  <c r="V25" i="23"/>
  <c r="F29" i="23"/>
  <c r="V29" i="23"/>
  <c r="F33" i="23"/>
  <c r="V33" i="23"/>
  <c r="F36" i="23"/>
  <c r="V36" i="23"/>
  <c r="J16" i="24"/>
  <c r="J20" i="24"/>
  <c r="F22" i="24"/>
  <c r="V22" i="24"/>
  <c r="J20" i="25"/>
  <c r="V24" i="25"/>
  <c r="J28" i="25"/>
  <c r="T31" i="25"/>
  <c r="J34" i="25"/>
  <c r="V36" i="25"/>
  <c r="J40" i="25"/>
  <c r="V44" i="25"/>
  <c r="V48" i="25"/>
  <c r="J52" i="25"/>
  <c r="V60" i="25"/>
  <c r="J62" i="25"/>
  <c r="J68" i="25"/>
  <c r="V72" i="25"/>
  <c r="V76" i="25"/>
  <c r="J78" i="25"/>
  <c r="V80" i="25"/>
  <c r="J91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J16" i="27"/>
  <c r="R18" i="27"/>
  <c r="J20" i="27"/>
  <c r="F22" i="27"/>
  <c r="V22" i="27"/>
  <c r="J123" i="28"/>
  <c r="J108" i="28"/>
  <c r="J96" i="28"/>
  <c r="J92" i="28"/>
  <c r="J86" i="28"/>
  <c r="J80" i="28"/>
  <c r="J74" i="28"/>
  <c r="J66" i="28"/>
  <c r="J56" i="28"/>
  <c r="J52" i="28"/>
  <c r="J44" i="28"/>
  <c r="J120" i="28"/>
  <c r="J113" i="28"/>
  <c r="J107" i="28"/>
  <c r="J99" i="28"/>
  <c r="J95" i="28"/>
  <c r="J91" i="28"/>
  <c r="J83" i="28"/>
  <c r="J71" i="28"/>
  <c r="J63" i="28"/>
  <c r="J55" i="28"/>
  <c r="J116" i="28"/>
  <c r="J110" i="28"/>
  <c r="J106" i="28"/>
  <c r="J102" i="28"/>
  <c r="J98" i="28"/>
  <c r="J94" i="28"/>
  <c r="J88" i="28"/>
  <c r="J127" i="28"/>
  <c r="J122" i="28"/>
  <c r="J105" i="28"/>
  <c r="J101" i="28"/>
  <c r="J85" i="28"/>
  <c r="J79" i="28"/>
  <c r="J73" i="28"/>
  <c r="J65" i="28"/>
  <c r="J112" i="28"/>
  <c r="J104" i="28"/>
  <c r="J90" i="28"/>
  <c r="J82" i="28"/>
  <c r="J70" i="28"/>
  <c r="J60" i="28"/>
  <c r="J119" i="28"/>
  <c r="J115" i="28"/>
  <c r="J109" i="28"/>
  <c r="J97" i="28"/>
  <c r="J93" i="28"/>
  <c r="J87" i="28"/>
  <c r="J75" i="28"/>
  <c r="J67" i="28"/>
  <c r="J59" i="28"/>
  <c r="J53" i="28"/>
  <c r="J47" i="28"/>
  <c r="J121" i="28"/>
  <c r="J114" i="28"/>
  <c r="J100" i="28"/>
  <c r="J84" i="28"/>
  <c r="J78" i="28"/>
  <c r="J72" i="28"/>
  <c r="J64" i="28"/>
  <c r="J58" i="28"/>
  <c r="J46" i="28"/>
  <c r="J20" i="28"/>
  <c r="V24" i="28"/>
  <c r="J28" i="28"/>
  <c r="V32" i="28"/>
  <c r="J36" i="28"/>
  <c r="J43" i="28"/>
  <c r="J62" i="28"/>
  <c r="N72" i="28"/>
  <c r="J77" i="28"/>
  <c r="V78" i="28"/>
  <c r="Z90" i="28"/>
  <c r="J103" i="28"/>
  <c r="L25" i="31"/>
  <c r="N25" i="31" s="1"/>
  <c r="X58" i="31"/>
  <c r="Z58" i="31" s="1"/>
  <c r="Z21" i="41"/>
  <c r="X21" i="41"/>
  <c r="X65" i="42"/>
  <c r="Z65" i="42" s="1"/>
  <c r="N25" i="29"/>
  <c r="L25" i="29"/>
  <c r="N29" i="29"/>
  <c r="L29" i="29"/>
  <c r="N33" i="29"/>
  <c r="L33" i="29"/>
  <c r="P12" i="31"/>
  <c r="X15" i="31"/>
  <c r="L76" i="31"/>
  <c r="D75" i="31"/>
  <c r="L75" i="31" s="1"/>
  <c r="N16" i="32"/>
  <c r="L16" i="32"/>
  <c r="L30" i="36"/>
  <c r="N30" i="36" s="1"/>
  <c r="N15" i="49"/>
  <c r="L15" i="49"/>
  <c r="J24" i="19"/>
  <c r="F27" i="20"/>
  <c r="F31" i="20"/>
  <c r="F34" i="20"/>
  <c r="J18" i="22"/>
  <c r="V24" i="22"/>
  <c r="J15" i="23"/>
  <c r="H18" i="23"/>
  <c r="F21" i="23"/>
  <c r="V21" i="23"/>
  <c r="J25" i="23"/>
  <c r="R27" i="23"/>
  <c r="J29" i="23"/>
  <c r="R31" i="23"/>
  <c r="J33" i="23"/>
  <c r="R34" i="23"/>
  <c r="J36" i="23"/>
  <c r="F18" i="24"/>
  <c r="V18" i="24"/>
  <c r="J22" i="24"/>
  <c r="P27" i="24"/>
  <c r="J22" i="25"/>
  <c r="V26" i="25"/>
  <c r="H31" i="25"/>
  <c r="V38" i="25"/>
  <c r="J42" i="25"/>
  <c r="J46" i="25"/>
  <c r="V50" i="25"/>
  <c r="J54" i="25"/>
  <c r="V58" i="25"/>
  <c r="J60" i="25"/>
  <c r="J66" i="25"/>
  <c r="V70" i="25"/>
  <c r="V74" i="25"/>
  <c r="J82" i="25"/>
  <c r="J89" i="25"/>
  <c r="V90" i="25"/>
  <c r="J15" i="26"/>
  <c r="H18" i="26"/>
  <c r="F21" i="26"/>
  <c r="J25" i="26"/>
  <c r="R27" i="26"/>
  <c r="J29" i="26"/>
  <c r="R31" i="26"/>
  <c r="J33" i="26"/>
  <c r="R34" i="26"/>
  <c r="J36" i="26"/>
  <c r="F18" i="27"/>
  <c r="V18" i="27"/>
  <c r="V26" i="28"/>
  <c r="V34" i="28"/>
  <c r="V40" i="28"/>
  <c r="V42" i="28"/>
  <c r="Z93" i="28"/>
  <c r="V97" i="28"/>
  <c r="N20" i="32"/>
  <c r="L20" i="32"/>
  <c r="J27" i="19"/>
  <c r="J31" i="19"/>
  <c r="J34" i="19"/>
  <c r="F16" i="20"/>
  <c r="V27" i="22"/>
  <c r="V31" i="22"/>
  <c r="R16" i="23"/>
  <c r="J18" i="23"/>
  <c r="J15" i="24"/>
  <c r="H18" i="24"/>
  <c r="F21" i="24"/>
  <c r="V21" i="24"/>
  <c r="J25" i="24"/>
  <c r="R27" i="24"/>
  <c r="J29" i="24"/>
  <c r="R31" i="24"/>
  <c r="J33" i="24"/>
  <c r="P12" i="25"/>
  <c r="V19" i="25"/>
  <c r="J23" i="25"/>
  <c r="V27" i="25"/>
  <c r="J35" i="25"/>
  <c r="V39" i="25"/>
  <c r="J43" i="25"/>
  <c r="J47" i="25"/>
  <c r="V51" i="25"/>
  <c r="J55" i="25"/>
  <c r="V59" i="25"/>
  <c r="J63" i="25"/>
  <c r="V67" i="25"/>
  <c r="J69" i="25"/>
  <c r="J79" i="25"/>
  <c r="J83" i="25"/>
  <c r="J87" i="25"/>
  <c r="R16" i="26"/>
  <c r="J18" i="26"/>
  <c r="J15" i="27"/>
  <c r="H18" i="27"/>
  <c r="F21" i="27"/>
  <c r="V21" i="27"/>
  <c r="J25" i="27"/>
  <c r="R27" i="27"/>
  <c r="J29" i="27"/>
  <c r="R31" i="27"/>
  <c r="J33" i="27"/>
  <c r="P12" i="28"/>
  <c r="V19" i="28"/>
  <c r="J23" i="28"/>
  <c r="V27" i="28"/>
  <c r="J31" i="28"/>
  <c r="V35" i="28"/>
  <c r="H40" i="28"/>
  <c r="V44" i="28"/>
  <c r="V45" i="28"/>
  <c r="V46" i="28"/>
  <c r="J49" i="28"/>
  <c r="J50" i="28"/>
  <c r="V58" i="28"/>
  <c r="V61" i="28"/>
  <c r="N66" i="28"/>
  <c r="Z72" i="28"/>
  <c r="J76" i="28"/>
  <c r="J81" i="28"/>
  <c r="V93" i="28"/>
  <c r="V105" i="28"/>
  <c r="V109" i="28"/>
  <c r="L15" i="29"/>
  <c r="X21" i="29"/>
  <c r="N22" i="30"/>
  <c r="L22" i="30"/>
  <c r="X25" i="31"/>
  <c r="Z25" i="31" s="1"/>
  <c r="Z26" i="31"/>
  <c r="N64" i="31"/>
  <c r="L64" i="31"/>
  <c r="Z66" i="31"/>
  <c r="L44" i="34"/>
  <c r="N44" i="34" s="1"/>
  <c r="N45" i="34"/>
  <c r="N65" i="36"/>
  <c r="L65" i="36"/>
  <c r="J16" i="19"/>
  <c r="V20" i="25"/>
  <c r="V28" i="25"/>
  <c r="V40" i="25"/>
  <c r="V52" i="25"/>
  <c r="V56" i="25"/>
  <c r="V64" i="25"/>
  <c r="V68" i="25"/>
  <c r="V84" i="25"/>
  <c r="V112" i="28"/>
  <c r="V104" i="28"/>
  <c r="V100" i="28"/>
  <c r="V84" i="28"/>
  <c r="V72" i="28"/>
  <c r="V64" i="28"/>
  <c r="V60" i="28"/>
  <c r="V48" i="28"/>
  <c r="V121" i="28"/>
  <c r="V115" i="28"/>
  <c r="V111" i="28"/>
  <c r="V103" i="28"/>
  <c r="V87" i="28"/>
  <c r="V75" i="28"/>
  <c r="V67" i="28"/>
  <c r="V59" i="28"/>
  <c r="V114" i="28"/>
  <c r="V86" i="28"/>
  <c r="V123" i="28"/>
  <c r="V117" i="28"/>
  <c r="V113" i="28"/>
  <c r="V89" i="28"/>
  <c r="V81" i="28"/>
  <c r="V77" i="28"/>
  <c r="V69" i="28"/>
  <c r="V120" i="28"/>
  <c r="V116" i="28"/>
  <c r="V108" i="28"/>
  <c r="V96" i="28"/>
  <c r="V92" i="28"/>
  <c r="V88" i="28"/>
  <c r="V80" i="28"/>
  <c r="V76" i="28"/>
  <c r="V68" i="28"/>
  <c r="V56" i="28"/>
  <c r="V52" i="28"/>
  <c r="V107" i="28"/>
  <c r="V99" i="28"/>
  <c r="V95" i="28"/>
  <c r="V91" i="28"/>
  <c r="V83" i="28"/>
  <c r="V79" i="28"/>
  <c r="V71" i="28"/>
  <c r="V63" i="28"/>
  <c r="V55" i="28"/>
  <c r="V51" i="28"/>
  <c r="V43" i="28"/>
  <c r="V122" i="28"/>
  <c r="V110" i="28"/>
  <c r="V106" i="28"/>
  <c r="V102" i="28"/>
  <c r="V98" i="28"/>
  <c r="V94" i="28"/>
  <c r="V90" i="28"/>
  <c r="V82" i="28"/>
  <c r="V70" i="28"/>
  <c r="V62" i="28"/>
  <c r="V54" i="28"/>
  <c r="V50" i="28"/>
  <c r="V20" i="28"/>
  <c r="V28" i="28"/>
  <c r="V36" i="28"/>
  <c r="V53" i="28"/>
  <c r="V57" i="28"/>
  <c r="X82" i="28"/>
  <c r="Z82" i="28" s="1"/>
  <c r="J111" i="28"/>
  <c r="X62" i="31"/>
  <c r="Z62" i="31" s="1"/>
  <c r="N72" i="31"/>
  <c r="L72" i="31"/>
  <c r="N34" i="33"/>
  <c r="L34" i="33"/>
  <c r="Z22" i="38"/>
  <c r="X22" i="38"/>
  <c r="J72" i="39"/>
  <c r="L82" i="39"/>
  <c r="N82" i="39" s="1"/>
  <c r="J15" i="29"/>
  <c r="H18" i="29"/>
  <c r="F21" i="29"/>
  <c r="V21" i="29"/>
  <c r="J25" i="29"/>
  <c r="R27" i="29"/>
  <c r="J29" i="29"/>
  <c r="R31" i="29"/>
  <c r="J33" i="29"/>
  <c r="R34" i="29"/>
  <c r="J36" i="29"/>
  <c r="F18" i="30"/>
  <c r="V18" i="30"/>
  <c r="J22" i="30"/>
  <c r="R24" i="30"/>
  <c r="H23" i="31"/>
  <c r="V30" i="31"/>
  <c r="J34" i="31"/>
  <c r="J38" i="31"/>
  <c r="V42" i="31"/>
  <c r="J46" i="31"/>
  <c r="V50" i="31"/>
  <c r="J54" i="31"/>
  <c r="V58" i="31"/>
  <c r="V62" i="31"/>
  <c r="J64" i="31"/>
  <c r="V70" i="31"/>
  <c r="J72" i="31"/>
  <c r="J16" i="32"/>
  <c r="R18" i="32"/>
  <c r="J20" i="32"/>
  <c r="V22" i="32"/>
  <c r="R15" i="33"/>
  <c r="P18" i="33"/>
  <c r="R25" i="33"/>
  <c r="J27" i="33"/>
  <c r="R29" i="33"/>
  <c r="J31" i="33"/>
  <c r="R33" i="33"/>
  <c r="J34" i="33"/>
  <c r="R36" i="33"/>
  <c r="D12" i="34"/>
  <c r="R24" i="34"/>
  <c r="J27" i="34"/>
  <c r="R32" i="34"/>
  <c r="J35" i="34"/>
  <c r="V39" i="34"/>
  <c r="R40" i="34"/>
  <c r="R45" i="34"/>
  <c r="J47" i="34"/>
  <c r="V51" i="34"/>
  <c r="R52" i="34"/>
  <c r="V55" i="34"/>
  <c r="R56" i="34"/>
  <c r="J59" i="34"/>
  <c r="V63" i="34"/>
  <c r="R64" i="34"/>
  <c r="V67" i="34"/>
  <c r="J71" i="34"/>
  <c r="V75" i="34"/>
  <c r="R76" i="34"/>
  <c r="J77" i="34"/>
  <c r="J83" i="34"/>
  <c r="R85" i="34"/>
  <c r="V87" i="34"/>
  <c r="R88" i="34"/>
  <c r="J89" i="34"/>
  <c r="R93" i="34"/>
  <c r="J95" i="34"/>
  <c r="J99" i="34"/>
  <c r="R105" i="34"/>
  <c r="V106" i="34"/>
  <c r="R109" i="34"/>
  <c r="V110" i="34"/>
  <c r="R118" i="34"/>
  <c r="V120" i="34"/>
  <c r="X121" i="34"/>
  <c r="R122" i="34"/>
  <c r="P124" i="34"/>
  <c r="X125" i="34"/>
  <c r="Z125" i="34" s="1"/>
  <c r="V24" i="35"/>
  <c r="J35" i="36"/>
  <c r="J40" i="36"/>
  <c r="N41" i="36"/>
  <c r="J46" i="36"/>
  <c r="V66" i="36"/>
  <c r="V74" i="36"/>
  <c r="V78" i="36"/>
  <c r="Z87" i="36"/>
  <c r="V91" i="36"/>
  <c r="V102" i="36"/>
  <c r="V108" i="36"/>
  <c r="V110" i="36"/>
  <c r="R22" i="38"/>
  <c r="X12" i="38"/>
  <c r="R20" i="38"/>
  <c r="R16" i="38"/>
  <c r="R24" i="38"/>
  <c r="R18" i="38"/>
  <c r="R15" i="38"/>
  <c r="F116" i="39"/>
  <c r="F104" i="39"/>
  <c r="F93" i="39"/>
  <c r="F89" i="39"/>
  <c r="F85" i="39"/>
  <c r="F81" i="39"/>
  <c r="F77" i="39"/>
  <c r="F73" i="39"/>
  <c r="F68" i="39"/>
  <c r="F65" i="39"/>
  <c r="F56" i="39"/>
  <c r="F53" i="39"/>
  <c r="F45" i="39"/>
  <c r="F33" i="39"/>
  <c r="F28" i="39"/>
  <c r="F27" i="39"/>
  <c r="F21" i="39"/>
  <c r="F113" i="39"/>
  <c r="F100" i="39"/>
  <c r="F92" i="39"/>
  <c r="F84" i="39"/>
  <c r="F80" i="39"/>
  <c r="F76" i="39"/>
  <c r="F64" i="39"/>
  <c r="F59" i="39"/>
  <c r="F44" i="39"/>
  <c r="F39" i="39"/>
  <c r="F32" i="39"/>
  <c r="F106" i="39"/>
  <c r="F103" i="39"/>
  <c r="F99" i="39"/>
  <c r="F91" i="39"/>
  <c r="F83" i="39"/>
  <c r="F75" i="39"/>
  <c r="F70" i="39"/>
  <c r="F67" i="39"/>
  <c r="F55" i="39"/>
  <c r="F50" i="39"/>
  <c r="F43" i="39"/>
  <c r="F31" i="39"/>
  <c r="F105" i="39"/>
  <c r="F97" i="39"/>
  <c r="F88" i="39"/>
  <c r="F72" i="39"/>
  <c r="F69" i="39"/>
  <c r="F57" i="39"/>
  <c r="F52" i="39"/>
  <c r="F49" i="39"/>
  <c r="F41" i="39"/>
  <c r="F37" i="39"/>
  <c r="F29" i="39"/>
  <c r="F20" i="39"/>
  <c r="F114" i="39"/>
  <c r="F112" i="39"/>
  <c r="F107" i="39"/>
  <c r="F95" i="39"/>
  <c r="F90" i="39"/>
  <c r="F87" i="39"/>
  <c r="F82" i="39"/>
  <c r="F74" i="39"/>
  <c r="F71" i="39"/>
  <c r="F66" i="39"/>
  <c r="F54" i="39"/>
  <c r="F51" i="39"/>
  <c r="F47" i="39"/>
  <c r="F35" i="39"/>
  <c r="D25" i="39"/>
  <c r="F23" i="39"/>
  <c r="Z20" i="39"/>
  <c r="N28" i="39"/>
  <c r="R30" i="39"/>
  <c r="F36" i="39"/>
  <c r="L52" i="39"/>
  <c r="Z54" i="39"/>
  <c r="R63" i="39"/>
  <c r="F79" i="39"/>
  <c r="L88" i="39"/>
  <c r="Z90" i="39"/>
  <c r="R100" i="39"/>
  <c r="R102" i="39"/>
  <c r="V98" i="42"/>
  <c r="V90" i="42"/>
  <c r="V86" i="42"/>
  <c r="V82" i="42"/>
  <c r="V78" i="42"/>
  <c r="V74" i="42"/>
  <c r="V113" i="42"/>
  <c r="V101" i="42"/>
  <c r="V97" i="42"/>
  <c r="V89" i="42"/>
  <c r="V81" i="42"/>
  <c r="V73" i="42"/>
  <c r="V118" i="42"/>
  <c r="V110" i="42"/>
  <c r="V100" i="42"/>
  <c r="V96" i="42"/>
  <c r="V88" i="42"/>
  <c r="V80" i="42"/>
  <c r="V103" i="42"/>
  <c r="V99" i="42"/>
  <c r="V112" i="42"/>
  <c r="V106" i="42"/>
  <c r="V102" i="42"/>
  <c r="V94" i="42"/>
  <c r="V114" i="42"/>
  <c r="V108" i="42"/>
  <c r="V104" i="42"/>
  <c r="V92" i="42"/>
  <c r="V83" i="42"/>
  <c r="V76" i="42"/>
  <c r="V75" i="42"/>
  <c r="V71" i="42"/>
  <c r="V67" i="42"/>
  <c r="V59" i="42"/>
  <c r="V55" i="42"/>
  <c r="V47" i="42"/>
  <c r="V39" i="42"/>
  <c r="V35" i="42"/>
  <c r="V27" i="42"/>
  <c r="V105" i="42"/>
  <c r="V84" i="42"/>
  <c r="V72" i="42"/>
  <c r="V58" i="42"/>
  <c r="V50" i="42"/>
  <c r="V46" i="42"/>
  <c r="V38" i="42"/>
  <c r="V34" i="42"/>
  <c r="V22" i="42"/>
  <c r="V111" i="42"/>
  <c r="V107" i="42"/>
  <c r="V93" i="42"/>
  <c r="V79" i="42"/>
  <c r="V77" i="42"/>
  <c r="V61" i="42"/>
  <c r="V49" i="42"/>
  <c r="V45" i="42"/>
  <c r="V33" i="42"/>
  <c r="V21" i="42"/>
  <c r="V85" i="42"/>
  <c r="V69" i="42"/>
  <c r="V64" i="42"/>
  <c r="V60" i="42"/>
  <c r="V52" i="42"/>
  <c r="V44" i="42"/>
  <c r="V32" i="42"/>
  <c r="V20" i="42"/>
  <c r="V70" i="42"/>
  <c r="V63" i="42"/>
  <c r="V51" i="42"/>
  <c r="V43" i="42"/>
  <c r="V31" i="42"/>
  <c r="V19" i="42"/>
  <c r="V91" i="42"/>
  <c r="V65" i="42"/>
  <c r="V57" i="42"/>
  <c r="V53" i="42"/>
  <c r="V41" i="42"/>
  <c r="V37" i="42"/>
  <c r="V29" i="42"/>
  <c r="T24" i="42"/>
  <c r="J26" i="42"/>
  <c r="N27" i="42"/>
  <c r="V42" i="42"/>
  <c r="J44" i="42"/>
  <c r="V48" i="42"/>
  <c r="N55" i="42"/>
  <c r="V56" i="42"/>
  <c r="V62" i="42"/>
  <c r="V68" i="42"/>
  <c r="J87" i="42"/>
  <c r="V97" i="45"/>
  <c r="V85" i="45"/>
  <c r="V77" i="45"/>
  <c r="V73" i="45"/>
  <c r="V69" i="45"/>
  <c r="V61" i="45"/>
  <c r="V53" i="45"/>
  <c r="V45" i="45"/>
  <c r="V33" i="45"/>
  <c r="V21" i="45"/>
  <c r="V96" i="45"/>
  <c r="V84" i="45"/>
  <c r="V80" i="45"/>
  <c r="V76" i="45"/>
  <c r="V72" i="45"/>
  <c r="V68" i="45"/>
  <c r="V60" i="45"/>
  <c r="V52" i="45"/>
  <c r="V44" i="45"/>
  <c r="V32" i="45"/>
  <c r="V20" i="45"/>
  <c r="V83" i="45"/>
  <c r="V79" i="45"/>
  <c r="V75" i="45"/>
  <c r="V71" i="45"/>
  <c r="V63" i="45"/>
  <c r="V55" i="45"/>
  <c r="V43" i="45"/>
  <c r="V31" i="45"/>
  <c r="V27" i="45"/>
  <c r="V100" i="45"/>
  <c r="V90" i="45"/>
  <c r="V82" i="45"/>
  <c r="V74" i="45"/>
  <c r="V70" i="45"/>
  <c r="V62" i="45"/>
  <c r="V54" i="45"/>
  <c r="V42" i="45"/>
  <c r="V38" i="45"/>
  <c r="V30" i="45"/>
  <c r="T25" i="45"/>
  <c r="V93" i="45"/>
  <c r="V89" i="45"/>
  <c r="V81" i="45"/>
  <c r="V65" i="45"/>
  <c r="V57" i="45"/>
  <c r="V49" i="45"/>
  <c r="V41" i="45"/>
  <c r="V37" i="45"/>
  <c r="V29" i="45"/>
  <c r="V92" i="45"/>
  <c r="V88" i="45"/>
  <c r="V64" i="45"/>
  <c r="V56" i="45"/>
  <c r="V95" i="45"/>
  <c r="V91" i="45"/>
  <c r="V87" i="45"/>
  <c r="V67" i="45"/>
  <c r="V59" i="45"/>
  <c r="V51" i="45"/>
  <c r="V47" i="45"/>
  <c r="V39" i="45"/>
  <c r="V35" i="45"/>
  <c r="V23" i="45"/>
  <c r="V58" i="45"/>
  <c r="V104" i="45"/>
  <c r="V36" i="45"/>
  <c r="V28" i="45"/>
  <c r="V50" i="45"/>
  <c r="V48" i="45"/>
  <c r="V94" i="45"/>
  <c r="V46" i="45"/>
  <c r="V40" i="45"/>
  <c r="V34" i="45"/>
  <c r="V22" i="45"/>
  <c r="J18" i="29"/>
  <c r="R20" i="29"/>
  <c r="F24" i="29"/>
  <c r="V24" i="29"/>
  <c r="V21" i="30"/>
  <c r="J25" i="30"/>
  <c r="R27" i="30"/>
  <c r="J29" i="30"/>
  <c r="R31" i="30"/>
  <c r="J33" i="30"/>
  <c r="R34" i="30"/>
  <c r="J36" i="30"/>
  <c r="V31" i="31"/>
  <c r="J35" i="31"/>
  <c r="J39" i="31"/>
  <c r="V43" i="31"/>
  <c r="V47" i="31"/>
  <c r="J49" i="31"/>
  <c r="J55" i="31"/>
  <c r="V59" i="31"/>
  <c r="V63" i="31"/>
  <c r="J67" i="31"/>
  <c r="V71" i="31"/>
  <c r="J76" i="31"/>
  <c r="V15" i="32"/>
  <c r="T18" i="32"/>
  <c r="V25" i="32"/>
  <c r="V29" i="32"/>
  <c r="V33" i="32"/>
  <c r="V36" i="32"/>
  <c r="J16" i="33"/>
  <c r="R18" i="33"/>
  <c r="J20" i="33"/>
  <c r="J121" i="34"/>
  <c r="J115" i="34"/>
  <c r="J111" i="34"/>
  <c r="J132" i="34"/>
  <c r="J127" i="34"/>
  <c r="J128" i="34"/>
  <c r="J113" i="34"/>
  <c r="J107" i="34"/>
  <c r="J20" i="34"/>
  <c r="R25" i="34"/>
  <c r="J28" i="34"/>
  <c r="R33" i="34"/>
  <c r="J36" i="34"/>
  <c r="J48" i="34"/>
  <c r="V52" i="34"/>
  <c r="R53" i="34"/>
  <c r="V56" i="34"/>
  <c r="R57" i="34"/>
  <c r="J60" i="34"/>
  <c r="V64" i="34"/>
  <c r="R65" i="34"/>
  <c r="J66" i="34"/>
  <c r="R70" i="34"/>
  <c r="V72" i="34"/>
  <c r="R73" i="34"/>
  <c r="V76" i="34"/>
  <c r="J80" i="34"/>
  <c r="R82" i="34"/>
  <c r="J84" i="34"/>
  <c r="V88" i="34"/>
  <c r="J92" i="34"/>
  <c r="V96" i="34"/>
  <c r="R97" i="34"/>
  <c r="V100" i="34"/>
  <c r="R101" i="34"/>
  <c r="V104" i="34"/>
  <c r="R107" i="34"/>
  <c r="V108" i="34"/>
  <c r="R114" i="34"/>
  <c r="R115" i="34"/>
  <c r="J116" i="34"/>
  <c r="R119" i="34"/>
  <c r="R121" i="34"/>
  <c r="V124" i="34"/>
  <c r="R125" i="34"/>
  <c r="R127" i="34"/>
  <c r="J34" i="35"/>
  <c r="J31" i="35"/>
  <c r="J27" i="35"/>
  <c r="J24" i="35"/>
  <c r="J36" i="35"/>
  <c r="J33" i="35"/>
  <c r="J29" i="35"/>
  <c r="J25" i="35"/>
  <c r="H18" i="35"/>
  <c r="J15" i="35"/>
  <c r="X20" i="35"/>
  <c r="J21" i="35"/>
  <c r="L24" i="35"/>
  <c r="X25" i="35"/>
  <c r="D12" i="36"/>
  <c r="L13" i="36"/>
  <c r="N13" i="36" s="1"/>
  <c r="J22" i="36"/>
  <c r="Z29" i="36"/>
  <c r="J34" i="36"/>
  <c r="J41" i="36"/>
  <c r="L61" i="36"/>
  <c r="J62" i="36"/>
  <c r="Z67" i="36"/>
  <c r="V72" i="36"/>
  <c r="V80" i="36"/>
  <c r="J82" i="36"/>
  <c r="J96" i="36"/>
  <c r="V98" i="36"/>
  <c r="F22" i="39"/>
  <c r="F40" i="39"/>
  <c r="N52" i="39"/>
  <c r="J52" i="39"/>
  <c r="N66" i="39"/>
  <c r="Z68" i="39"/>
  <c r="Z72" i="39"/>
  <c r="R76" i="39"/>
  <c r="N88" i="39"/>
  <c r="J88" i="39"/>
  <c r="N112" i="39"/>
  <c r="P112" i="39"/>
  <c r="X112" i="39" s="1"/>
  <c r="Z112" i="39" s="1"/>
  <c r="X113" i="39"/>
  <c r="Z113" i="39" s="1"/>
  <c r="J34" i="41"/>
  <c r="J31" i="41"/>
  <c r="J27" i="41"/>
  <c r="J24" i="41"/>
  <c r="J21" i="41"/>
  <c r="J36" i="41"/>
  <c r="J33" i="41"/>
  <c r="J29" i="41"/>
  <c r="J25" i="41"/>
  <c r="H18" i="41"/>
  <c r="J15" i="41"/>
  <c r="L12" i="41"/>
  <c r="J20" i="42"/>
  <c r="V30" i="42"/>
  <c r="J32" i="42"/>
  <c r="J38" i="42"/>
  <c r="N78" i="42"/>
  <c r="L78" i="42"/>
  <c r="N58" i="45"/>
  <c r="V78" i="45"/>
  <c r="V21" i="52"/>
  <c r="V18" i="52"/>
  <c r="V36" i="52"/>
  <c r="V33" i="52"/>
  <c r="V29" i="52"/>
  <c r="V25" i="52"/>
  <c r="T18" i="52"/>
  <c r="V15" i="52"/>
  <c r="V22" i="52"/>
  <c r="V20" i="52"/>
  <c r="V16" i="52"/>
  <c r="Z12" i="52"/>
  <c r="V34" i="52"/>
  <c r="V31" i="52"/>
  <c r="V27" i="52"/>
  <c r="X12" i="29"/>
  <c r="J21" i="29"/>
  <c r="F27" i="29"/>
  <c r="V27" i="29"/>
  <c r="F31" i="29"/>
  <c r="V31" i="29"/>
  <c r="F34" i="29"/>
  <c r="V34" i="29"/>
  <c r="R16" i="30"/>
  <c r="J18" i="30"/>
  <c r="R20" i="30"/>
  <c r="F24" i="30"/>
  <c r="V24" i="30"/>
  <c r="V20" i="31"/>
  <c r="J28" i="31"/>
  <c r="V32" i="31"/>
  <c r="V36" i="31"/>
  <c r="J40" i="31"/>
  <c r="V44" i="31"/>
  <c r="V48" i="31"/>
  <c r="J52" i="31"/>
  <c r="V56" i="31"/>
  <c r="J58" i="31"/>
  <c r="V60" i="31"/>
  <c r="J62" i="31"/>
  <c r="J68" i="31"/>
  <c r="V80" i="31"/>
  <c r="N12" i="32"/>
  <c r="L13" i="32"/>
  <c r="V18" i="32"/>
  <c r="J22" i="32"/>
  <c r="R24" i="32"/>
  <c r="L12" i="33"/>
  <c r="D18" i="33"/>
  <c r="R21" i="33"/>
  <c r="F25" i="33"/>
  <c r="F29" i="33"/>
  <c r="F33" i="33"/>
  <c r="F36" i="33"/>
  <c r="V36" i="33"/>
  <c r="R19" i="34"/>
  <c r="J21" i="34"/>
  <c r="R26" i="34"/>
  <c r="J29" i="34"/>
  <c r="R34" i="34"/>
  <c r="J37" i="34"/>
  <c r="P42" i="34"/>
  <c r="R44" i="34"/>
  <c r="R46" i="34"/>
  <c r="J49" i="34"/>
  <c r="V53" i="34"/>
  <c r="R54" i="34"/>
  <c r="J55" i="34"/>
  <c r="V57" i="34"/>
  <c r="R58" i="34"/>
  <c r="J61" i="34"/>
  <c r="V65" i="34"/>
  <c r="J69" i="34"/>
  <c r="V73" i="34"/>
  <c r="R74" i="34"/>
  <c r="J75" i="34"/>
  <c r="R79" i="34"/>
  <c r="J81" i="34"/>
  <c r="V85" i="34"/>
  <c r="R86" i="34"/>
  <c r="J87" i="34"/>
  <c r="R91" i="34"/>
  <c r="V93" i="34"/>
  <c r="R94" i="34"/>
  <c r="V97" i="34"/>
  <c r="R98" i="34"/>
  <c r="V101" i="34"/>
  <c r="R102" i="34"/>
  <c r="V115" i="34"/>
  <c r="V118" i="34"/>
  <c r="Z121" i="34"/>
  <c r="V125" i="34"/>
  <c r="V126" i="34"/>
  <c r="V127" i="34"/>
  <c r="V18" i="35"/>
  <c r="X14" i="36"/>
  <c r="P12" i="36"/>
  <c r="J23" i="36"/>
  <c r="J50" i="36"/>
  <c r="J60" i="36"/>
  <c r="N61" i="36"/>
  <c r="V83" i="36"/>
  <c r="V90" i="36"/>
  <c r="J94" i="36"/>
  <c r="J100" i="36"/>
  <c r="V106" i="36"/>
  <c r="Z107" i="36"/>
  <c r="V114" i="36"/>
  <c r="V118" i="36"/>
  <c r="V119" i="36"/>
  <c r="V120" i="36"/>
  <c r="V20" i="37"/>
  <c r="V16" i="37"/>
  <c r="Z12" i="37"/>
  <c r="V34" i="37"/>
  <c r="V31" i="37"/>
  <c r="V27" i="37"/>
  <c r="X12" i="37"/>
  <c r="V21" i="37"/>
  <c r="V36" i="37"/>
  <c r="V33" i="37"/>
  <c r="V29" i="37"/>
  <c r="V25" i="37"/>
  <c r="T18" i="37"/>
  <c r="V15" i="37"/>
  <c r="R36" i="38"/>
  <c r="L12" i="39"/>
  <c r="R32" i="39"/>
  <c r="F38" i="39"/>
  <c r="R44" i="39"/>
  <c r="N56" i="39"/>
  <c r="R58" i="39"/>
  <c r="R59" i="39"/>
  <c r="F63" i="39"/>
  <c r="F78" i="39"/>
  <c r="Z82" i="39"/>
  <c r="R92" i="39"/>
  <c r="F98" i="39"/>
  <c r="N13" i="40"/>
  <c r="R31" i="40"/>
  <c r="N12" i="41"/>
  <c r="D12" i="42"/>
  <c r="L13" i="42"/>
  <c r="N13" i="42" s="1"/>
  <c r="X14" i="42"/>
  <c r="P12" i="42"/>
  <c r="J46" i="42"/>
  <c r="L67" i="42"/>
  <c r="N67" i="42" s="1"/>
  <c r="V87" i="42"/>
  <c r="V95" i="42"/>
  <c r="Z34" i="44"/>
  <c r="X34" i="44"/>
  <c r="V86" i="45"/>
  <c r="F16" i="29"/>
  <c r="F20" i="29"/>
  <c r="J24" i="29"/>
  <c r="F27" i="30"/>
  <c r="V27" i="30"/>
  <c r="F31" i="30"/>
  <c r="V31" i="30"/>
  <c r="F34" i="30"/>
  <c r="V34" i="30"/>
  <c r="J29" i="31"/>
  <c r="V33" i="31"/>
  <c r="V37" i="31"/>
  <c r="J41" i="31"/>
  <c r="V45" i="31"/>
  <c r="J47" i="31"/>
  <c r="V53" i="31"/>
  <c r="V57" i="31"/>
  <c r="V61" i="31"/>
  <c r="J65" i="31"/>
  <c r="J69" i="31"/>
  <c r="J73" i="31"/>
  <c r="V75" i="31"/>
  <c r="J15" i="32"/>
  <c r="H18" i="32"/>
  <c r="V21" i="32"/>
  <c r="J25" i="32"/>
  <c r="R27" i="32"/>
  <c r="J29" i="32"/>
  <c r="R31" i="32"/>
  <c r="J33" i="32"/>
  <c r="R34" i="32"/>
  <c r="J36" i="32"/>
  <c r="N12" i="33"/>
  <c r="J22" i="33"/>
  <c r="R24" i="33"/>
  <c r="J22" i="34"/>
  <c r="R27" i="34"/>
  <c r="J30" i="34"/>
  <c r="R35" i="34"/>
  <c r="J38" i="34"/>
  <c r="R42" i="34"/>
  <c r="R47" i="34"/>
  <c r="J50" i="34"/>
  <c r="V54" i="34"/>
  <c r="V58" i="34"/>
  <c r="R59" i="34"/>
  <c r="J62" i="34"/>
  <c r="R68" i="34"/>
  <c r="V70" i="34"/>
  <c r="R71" i="34"/>
  <c r="J72" i="34"/>
  <c r="V74" i="34"/>
  <c r="J78" i="34"/>
  <c r="V82" i="34"/>
  <c r="R83" i="34"/>
  <c r="V86" i="34"/>
  <c r="J90" i="34"/>
  <c r="V94" i="34"/>
  <c r="R95" i="34"/>
  <c r="J96" i="34"/>
  <c r="V98" i="34"/>
  <c r="R99" i="34"/>
  <c r="J100" i="34"/>
  <c r="V102" i="34"/>
  <c r="R103" i="34"/>
  <c r="J104" i="34"/>
  <c r="X107" i="34"/>
  <c r="Z107" i="34" s="1"/>
  <c r="J112" i="34"/>
  <c r="V114" i="34"/>
  <c r="J117" i="34"/>
  <c r="V121" i="34"/>
  <c r="R128" i="34"/>
  <c r="X13" i="35"/>
  <c r="X15" i="35"/>
  <c r="X33" i="35"/>
  <c r="H27" i="36"/>
  <c r="N29" i="36"/>
  <c r="J38" i="36"/>
  <c r="N58" i="36"/>
  <c r="J61" i="36"/>
  <c r="Z65" i="36"/>
  <c r="N70" i="36"/>
  <c r="J92" i="36"/>
  <c r="N93" i="36"/>
  <c r="V95" i="36"/>
  <c r="X107" i="36"/>
  <c r="Z115" i="36"/>
  <c r="L15" i="37"/>
  <c r="X21" i="37"/>
  <c r="L20" i="38"/>
  <c r="R31" i="38"/>
  <c r="R112" i="39"/>
  <c r="R105" i="39"/>
  <c r="R97" i="39"/>
  <c r="R90" i="39"/>
  <c r="R82" i="39"/>
  <c r="R74" i="39"/>
  <c r="R69" i="39"/>
  <c r="R66" i="39"/>
  <c r="R57" i="39"/>
  <c r="R54" i="39"/>
  <c r="R49" i="39"/>
  <c r="R41" i="39"/>
  <c r="R37" i="39"/>
  <c r="R29" i="39"/>
  <c r="R27" i="39"/>
  <c r="P25" i="39"/>
  <c r="R114" i="39"/>
  <c r="R108" i="39"/>
  <c r="R101" i="39"/>
  <c r="R96" i="39"/>
  <c r="R60" i="39"/>
  <c r="R48" i="39"/>
  <c r="R40" i="39"/>
  <c r="R36" i="39"/>
  <c r="X12" i="39"/>
  <c r="Z12" i="39" s="1"/>
  <c r="R107" i="39"/>
  <c r="R104" i="39"/>
  <c r="R95" i="39"/>
  <c r="R87" i="39"/>
  <c r="R71" i="39"/>
  <c r="R68" i="39"/>
  <c r="R56" i="39"/>
  <c r="R51" i="39"/>
  <c r="R47" i="39"/>
  <c r="R35" i="39"/>
  <c r="R28" i="39"/>
  <c r="R23" i="39"/>
  <c r="R113" i="39"/>
  <c r="R106" i="39"/>
  <c r="R93" i="39"/>
  <c r="R89" i="39"/>
  <c r="R85" i="39"/>
  <c r="R81" i="39"/>
  <c r="R77" i="39"/>
  <c r="R73" i="39"/>
  <c r="R70" i="39"/>
  <c r="R65" i="39"/>
  <c r="R53" i="39"/>
  <c r="R50" i="39"/>
  <c r="R45" i="39"/>
  <c r="R33" i="39"/>
  <c r="R21" i="39"/>
  <c r="R115" i="39"/>
  <c r="R103" i="39"/>
  <c r="R99" i="39"/>
  <c r="R91" i="39"/>
  <c r="R88" i="39"/>
  <c r="R83" i="39"/>
  <c r="R75" i="39"/>
  <c r="R72" i="39"/>
  <c r="R67" i="39"/>
  <c r="R55" i="39"/>
  <c r="R52" i="39"/>
  <c r="R43" i="39"/>
  <c r="R31" i="39"/>
  <c r="R20" i="39"/>
  <c r="Z28" i="39"/>
  <c r="F34" i="39"/>
  <c r="F42" i="39"/>
  <c r="Z52" i="39"/>
  <c r="F61" i="39"/>
  <c r="N74" i="39"/>
  <c r="Z88" i="39"/>
  <c r="F94" i="39"/>
  <c r="F109" i="39"/>
  <c r="F115" i="39"/>
  <c r="R18" i="40"/>
  <c r="R36" i="40"/>
  <c r="R33" i="40"/>
  <c r="R29" i="40"/>
  <c r="R25" i="40"/>
  <c r="P18" i="40"/>
  <c r="R15" i="40"/>
  <c r="R22" i="40"/>
  <c r="R20" i="40"/>
  <c r="R16" i="40"/>
  <c r="R24" i="40"/>
  <c r="V24" i="42"/>
  <c r="Z26" i="42"/>
  <c r="J50" i="42"/>
  <c r="V54" i="42"/>
  <c r="J58" i="42"/>
  <c r="J86" i="42"/>
  <c r="J107" i="42"/>
  <c r="V66" i="45"/>
  <c r="V54" i="31"/>
  <c r="J56" i="31"/>
  <c r="V66" i="31"/>
  <c r="J70" i="31"/>
  <c r="V24" i="32"/>
  <c r="J25" i="33"/>
  <c r="R27" i="33"/>
  <c r="J29" i="33"/>
  <c r="R31" i="33"/>
  <c r="J33" i="33"/>
  <c r="R34" i="33"/>
  <c r="J36" i="33"/>
  <c r="R126" i="34"/>
  <c r="R120" i="34"/>
  <c r="R108" i="34"/>
  <c r="R132" i="34"/>
  <c r="R110" i="34"/>
  <c r="R106" i="34"/>
  <c r="R20" i="34"/>
  <c r="R28" i="34"/>
  <c r="R36" i="34"/>
  <c r="J39" i="34"/>
  <c r="T130" i="34"/>
  <c r="J45" i="34"/>
  <c r="R48" i="34"/>
  <c r="J51" i="34"/>
  <c r="V59" i="34"/>
  <c r="R60" i="34"/>
  <c r="J63" i="34"/>
  <c r="J67" i="34"/>
  <c r="V71" i="34"/>
  <c r="R77" i="34"/>
  <c r="V79" i="34"/>
  <c r="R80" i="34"/>
  <c r="V83" i="34"/>
  <c r="R84" i="34"/>
  <c r="J85" i="34"/>
  <c r="R89" i="34"/>
  <c r="V91" i="34"/>
  <c r="R92" i="34"/>
  <c r="J93" i="34"/>
  <c r="V95" i="34"/>
  <c r="V99" i="34"/>
  <c r="V103" i="34"/>
  <c r="V20" i="35"/>
  <c r="V16" i="35"/>
  <c r="Z12" i="35"/>
  <c r="V21" i="35"/>
  <c r="V36" i="35"/>
  <c r="V33" i="35"/>
  <c r="V29" i="35"/>
  <c r="V25" i="35"/>
  <c r="T18" i="35"/>
  <c r="V15" i="35"/>
  <c r="V31" i="35"/>
  <c r="J115" i="36"/>
  <c r="J109" i="36"/>
  <c r="J105" i="36"/>
  <c r="J97" i="36"/>
  <c r="J89" i="36"/>
  <c r="J81" i="36"/>
  <c r="J73" i="36"/>
  <c r="J67" i="36"/>
  <c r="J53" i="36"/>
  <c r="J49" i="36"/>
  <c r="J37" i="36"/>
  <c r="J29" i="36"/>
  <c r="J25" i="36"/>
  <c r="J126" i="36"/>
  <c r="J121" i="36"/>
  <c r="J108" i="36"/>
  <c r="J104" i="36"/>
  <c r="J88" i="36"/>
  <c r="J78" i="36"/>
  <c r="J70" i="36"/>
  <c r="J64" i="36"/>
  <c r="J58" i="36"/>
  <c r="J48" i="36"/>
  <c r="J36" i="36"/>
  <c r="J30" i="36"/>
  <c r="J24" i="36"/>
  <c r="J120" i="36"/>
  <c r="J113" i="36"/>
  <c r="J107" i="36"/>
  <c r="J101" i="36"/>
  <c r="J87" i="36"/>
  <c r="J77" i="36"/>
  <c r="J69" i="36"/>
  <c r="J63" i="36"/>
  <c r="J57" i="36"/>
  <c r="J45" i="36"/>
  <c r="J33" i="36"/>
  <c r="J122" i="36"/>
  <c r="J99" i="36"/>
  <c r="J95" i="36"/>
  <c r="J91" i="36"/>
  <c r="J83" i="36"/>
  <c r="J79" i="36"/>
  <c r="J71" i="36"/>
  <c r="J65" i="36"/>
  <c r="J59" i="36"/>
  <c r="J51" i="36"/>
  <c r="J43" i="36"/>
  <c r="J39" i="36"/>
  <c r="J31" i="36"/>
  <c r="J27" i="36"/>
  <c r="J44" i="36"/>
  <c r="J52" i="36"/>
  <c r="J54" i="36"/>
  <c r="J55" i="36"/>
  <c r="J56" i="36"/>
  <c r="V62" i="36"/>
  <c r="Z63" i="36"/>
  <c r="J68" i="36"/>
  <c r="J72" i="36"/>
  <c r="J74" i="36"/>
  <c r="J75" i="36"/>
  <c r="N78" i="36"/>
  <c r="J80" i="36"/>
  <c r="V82" i="36"/>
  <c r="J86" i="36"/>
  <c r="J93" i="36"/>
  <c r="J110" i="36"/>
  <c r="J111" i="36"/>
  <c r="V115" i="36"/>
  <c r="V18" i="37"/>
  <c r="R27" i="38"/>
  <c r="R33" i="38"/>
  <c r="R22" i="39"/>
  <c r="V27" i="39"/>
  <c r="F30" i="39"/>
  <c r="F46" i="39"/>
  <c r="F62" i="39"/>
  <c r="R78" i="39"/>
  <c r="R80" i="39"/>
  <c r="R84" i="39"/>
  <c r="F101" i="39"/>
  <c r="Z106" i="39"/>
  <c r="F108" i="39"/>
  <c r="F110" i="39"/>
  <c r="Z13" i="40"/>
  <c r="X13" i="40"/>
  <c r="V20" i="41"/>
  <c r="V16" i="41"/>
  <c r="Z12" i="41"/>
  <c r="V34" i="41"/>
  <c r="V31" i="41"/>
  <c r="V27" i="41"/>
  <c r="X12" i="41"/>
  <c r="V21" i="41"/>
  <c r="V36" i="41"/>
  <c r="V33" i="41"/>
  <c r="V29" i="41"/>
  <c r="V25" i="41"/>
  <c r="T18" i="41"/>
  <c r="V15" i="41"/>
  <c r="J20" i="41"/>
  <c r="J22" i="42"/>
  <c r="L26" i="42"/>
  <c r="J34" i="42"/>
  <c r="V40" i="42"/>
  <c r="Z51" i="42"/>
  <c r="N53" i="42"/>
  <c r="V66" i="42"/>
  <c r="X22" i="43"/>
  <c r="N27" i="45"/>
  <c r="V98" i="45"/>
  <c r="J33" i="51"/>
  <c r="X66" i="28"/>
  <c r="Z66" i="28" s="1"/>
  <c r="L68" i="28"/>
  <c r="N68" i="28" s="1"/>
  <c r="X74" i="28"/>
  <c r="L76" i="28"/>
  <c r="N76" i="28" s="1"/>
  <c r="X86" i="28"/>
  <c r="Z86" i="28" s="1"/>
  <c r="L88" i="28"/>
  <c r="N88" i="28" s="1"/>
  <c r="L116" i="28"/>
  <c r="N116" i="28" s="1"/>
  <c r="J16" i="29"/>
  <c r="F22" i="29"/>
  <c r="V22" i="29"/>
  <c r="R15" i="30"/>
  <c r="P18" i="30"/>
  <c r="R25" i="30"/>
  <c r="J27" i="30"/>
  <c r="R29" i="30"/>
  <c r="J31" i="30"/>
  <c r="R33" i="30"/>
  <c r="J34" i="30"/>
  <c r="R36" i="30"/>
  <c r="V27" i="31"/>
  <c r="J31" i="31"/>
  <c r="V35" i="31"/>
  <c r="V39" i="31"/>
  <c r="J43" i="31"/>
  <c r="V51" i="31"/>
  <c r="J53" i="31"/>
  <c r="V55" i="31"/>
  <c r="J59" i="31"/>
  <c r="J63" i="31"/>
  <c r="V67" i="31"/>
  <c r="J71" i="31"/>
  <c r="J75" i="31"/>
  <c r="X12" i="32"/>
  <c r="J21" i="32"/>
  <c r="V27" i="32"/>
  <c r="V31" i="32"/>
  <c r="V34" i="32"/>
  <c r="R16" i="33"/>
  <c r="J18" i="33"/>
  <c r="R20" i="33"/>
  <c r="F24" i="33"/>
  <c r="V24" i="33"/>
  <c r="V119" i="34"/>
  <c r="V107" i="34"/>
  <c r="V128" i="34"/>
  <c r="V122" i="34"/>
  <c r="V117" i="34"/>
  <c r="V109" i="34"/>
  <c r="V105" i="34"/>
  <c r="V20" i="34"/>
  <c r="R21" i="34"/>
  <c r="J24" i="34"/>
  <c r="V28" i="34"/>
  <c r="R29" i="34"/>
  <c r="J32" i="34"/>
  <c r="V36" i="34"/>
  <c r="R37" i="34"/>
  <c r="J40" i="34"/>
  <c r="V42" i="34"/>
  <c r="J44" i="34"/>
  <c r="V44" i="34"/>
  <c r="V48" i="34"/>
  <c r="R49" i="34"/>
  <c r="J52" i="34"/>
  <c r="J56" i="34"/>
  <c r="V60" i="34"/>
  <c r="R61" i="34"/>
  <c r="J64" i="34"/>
  <c r="R66" i="34"/>
  <c r="V68" i="34"/>
  <c r="R69" i="34"/>
  <c r="J70" i="34"/>
  <c r="J76" i="34"/>
  <c r="V80" i="34"/>
  <c r="R81" i="34"/>
  <c r="J82" i="34"/>
  <c r="V84" i="34"/>
  <c r="J88" i="34"/>
  <c r="V92" i="34"/>
  <c r="J105" i="34"/>
  <c r="J106" i="34"/>
  <c r="J110" i="34"/>
  <c r="J114" i="34"/>
  <c r="R116" i="34"/>
  <c r="J118" i="34"/>
  <c r="J120" i="34"/>
  <c r="J122" i="34"/>
  <c r="J124" i="34"/>
  <c r="X12" i="35"/>
  <c r="J32" i="36"/>
  <c r="V50" i="36"/>
  <c r="V51" i="36"/>
  <c r="X63" i="36"/>
  <c r="V71" i="36"/>
  <c r="J76" i="36"/>
  <c r="J84" i="36"/>
  <c r="V94" i="36"/>
  <c r="J103" i="36"/>
  <c r="V104" i="36"/>
  <c r="V22" i="37"/>
  <c r="X33" i="37"/>
  <c r="F20" i="38"/>
  <c r="F16" i="38"/>
  <c r="F34" i="38"/>
  <c r="F31" i="38"/>
  <c r="F27" i="38"/>
  <c r="F24" i="38"/>
  <c r="F18" i="38"/>
  <c r="F22" i="38"/>
  <c r="R21" i="38"/>
  <c r="R29" i="38"/>
  <c r="R34" i="38"/>
  <c r="L20" i="39"/>
  <c r="F25" i="39"/>
  <c r="R38" i="39"/>
  <c r="R39" i="39"/>
  <c r="N54" i="39"/>
  <c r="Z56" i="39"/>
  <c r="X66" i="39"/>
  <c r="Z66" i="39" s="1"/>
  <c r="X70" i="39"/>
  <c r="R79" i="39"/>
  <c r="F86" i="39"/>
  <c r="N90" i="39"/>
  <c r="R98" i="39"/>
  <c r="F102" i="39"/>
  <c r="X12" i="40"/>
  <c r="R27" i="40"/>
  <c r="J18" i="41"/>
  <c r="J22" i="41"/>
  <c r="X25" i="41"/>
  <c r="X33" i="41"/>
  <c r="N19" i="42"/>
  <c r="V26" i="42"/>
  <c r="N65" i="42"/>
  <c r="F24" i="43"/>
  <c r="F21" i="43"/>
  <c r="F18" i="43"/>
  <c r="F36" i="43"/>
  <c r="F33" i="43"/>
  <c r="F29" i="43"/>
  <c r="F25" i="43"/>
  <c r="D18" i="43"/>
  <c r="F15" i="43"/>
  <c r="L12" i="43"/>
  <c r="F22" i="43"/>
  <c r="F20" i="43"/>
  <c r="F16" i="43"/>
  <c r="F34" i="43"/>
  <c r="F31" i="43"/>
  <c r="F27" i="43"/>
  <c r="N76" i="51"/>
  <c r="D119" i="28"/>
  <c r="L119" i="28" s="1"/>
  <c r="N119" i="28" s="1"/>
  <c r="L12" i="29"/>
  <c r="F15" i="29"/>
  <c r="V15" i="29"/>
  <c r="D18" i="29"/>
  <c r="T18" i="29"/>
  <c r="F25" i="29"/>
  <c r="V25" i="29"/>
  <c r="F29" i="29"/>
  <c r="V29" i="29"/>
  <c r="F33" i="29"/>
  <c r="V33" i="29"/>
  <c r="J16" i="30"/>
  <c r="J20" i="31"/>
  <c r="T23" i="31"/>
  <c r="J26" i="31"/>
  <c r="V28" i="31"/>
  <c r="J32" i="31"/>
  <c r="V40" i="31"/>
  <c r="J44" i="31"/>
  <c r="J48" i="31"/>
  <c r="V52" i="31"/>
  <c r="J60" i="31"/>
  <c r="V64" i="31"/>
  <c r="J66" i="31"/>
  <c r="V68" i="31"/>
  <c r="V72" i="31"/>
  <c r="V76" i="31"/>
  <c r="Z12" i="32"/>
  <c r="V16" i="32"/>
  <c r="F27" i="33"/>
  <c r="V27" i="33"/>
  <c r="F31" i="33"/>
  <c r="V31" i="33"/>
  <c r="X12" i="34"/>
  <c r="Z12" i="34" s="1"/>
  <c r="J19" i="34"/>
  <c r="V21" i="34"/>
  <c r="R22" i="34"/>
  <c r="J25" i="34"/>
  <c r="V29" i="34"/>
  <c r="R30" i="34"/>
  <c r="J33" i="34"/>
  <c r="V37" i="34"/>
  <c r="R38" i="34"/>
  <c r="H42" i="34"/>
  <c r="V49" i="34"/>
  <c r="R50" i="34"/>
  <c r="J53" i="34"/>
  <c r="R55" i="34"/>
  <c r="J57" i="34"/>
  <c r="V61" i="34"/>
  <c r="R62" i="34"/>
  <c r="J65" i="34"/>
  <c r="V69" i="34"/>
  <c r="J73" i="34"/>
  <c r="R75" i="34"/>
  <c r="V77" i="34"/>
  <c r="R78" i="34"/>
  <c r="J79" i="34"/>
  <c r="V81" i="34"/>
  <c r="R87" i="34"/>
  <c r="V89" i="34"/>
  <c r="R90" i="34"/>
  <c r="J91" i="34"/>
  <c r="J97" i="34"/>
  <c r="J101" i="34"/>
  <c r="J108" i="34"/>
  <c r="J109" i="34"/>
  <c r="R111" i="34"/>
  <c r="R112" i="34"/>
  <c r="R113" i="34"/>
  <c r="R117" i="34"/>
  <c r="J119" i="34"/>
  <c r="N121" i="34"/>
  <c r="J125" i="34"/>
  <c r="J126" i="34"/>
  <c r="L21" i="35"/>
  <c r="V113" i="36"/>
  <c r="V101" i="36"/>
  <c r="V77" i="36"/>
  <c r="V69" i="36"/>
  <c r="V65" i="36"/>
  <c r="V57" i="36"/>
  <c r="V45" i="36"/>
  <c r="V33" i="36"/>
  <c r="V29" i="36"/>
  <c r="V122" i="36"/>
  <c r="V116" i="36"/>
  <c r="V112" i="36"/>
  <c r="V100" i="36"/>
  <c r="V92" i="36"/>
  <c r="V84" i="36"/>
  <c r="V76" i="36"/>
  <c r="V68" i="36"/>
  <c r="V60" i="36"/>
  <c r="V56" i="36"/>
  <c r="V44" i="36"/>
  <c r="V40" i="36"/>
  <c r="V32" i="36"/>
  <c r="T27" i="36"/>
  <c r="V27" i="36" s="1"/>
  <c r="V121" i="36"/>
  <c r="V109" i="36"/>
  <c r="V105" i="36"/>
  <c r="V97" i="36"/>
  <c r="V93" i="36"/>
  <c r="V89" i="36"/>
  <c r="V85" i="36"/>
  <c r="V81" i="36"/>
  <c r="V73" i="36"/>
  <c r="V61" i="36"/>
  <c r="V53" i="36"/>
  <c r="V49" i="36"/>
  <c r="V41" i="36"/>
  <c r="V37" i="36"/>
  <c r="V25" i="36"/>
  <c r="V111" i="36"/>
  <c r="V107" i="36"/>
  <c r="V103" i="36"/>
  <c r="V87" i="36"/>
  <c r="V75" i="36"/>
  <c r="V63" i="36"/>
  <c r="V55" i="36"/>
  <c r="V47" i="36"/>
  <c r="V35" i="36"/>
  <c r="V23" i="36"/>
  <c r="V22" i="36"/>
  <c r="V38" i="36"/>
  <c r="V59" i="36"/>
  <c r="J66" i="36"/>
  <c r="N67" i="36"/>
  <c r="V79" i="36"/>
  <c r="J85" i="36"/>
  <c r="V88" i="36"/>
  <c r="V96" i="36"/>
  <c r="J98" i="36"/>
  <c r="J102" i="36"/>
  <c r="J116" i="36"/>
  <c r="J118" i="36"/>
  <c r="J119" i="36"/>
  <c r="V24" i="37"/>
  <c r="P18" i="38"/>
  <c r="R25" i="38"/>
  <c r="N20" i="39"/>
  <c r="J20" i="39"/>
  <c r="R34" i="39"/>
  <c r="R46" i="39"/>
  <c r="F60" i="39"/>
  <c r="R62" i="39"/>
  <c r="N68" i="39"/>
  <c r="L72" i="39"/>
  <c r="N72" i="39" s="1"/>
  <c r="Z74" i="39"/>
  <c r="R94" i="39"/>
  <c r="R110" i="39"/>
  <c r="R21" i="40"/>
  <c r="L15" i="41"/>
  <c r="J16" i="41"/>
  <c r="J110" i="42"/>
  <c r="J106" i="42"/>
  <c r="J94" i="42"/>
  <c r="J88" i="42"/>
  <c r="J80" i="42"/>
  <c r="J70" i="42"/>
  <c r="J112" i="42"/>
  <c r="J105" i="42"/>
  <c r="J99" i="42"/>
  <c r="J93" i="42"/>
  <c r="J85" i="42"/>
  <c r="J77" i="42"/>
  <c r="J108" i="42"/>
  <c r="J102" i="42"/>
  <c r="J92" i="42"/>
  <c r="J84" i="42"/>
  <c r="J76" i="42"/>
  <c r="J72" i="42"/>
  <c r="J114" i="42"/>
  <c r="J111" i="42"/>
  <c r="J104" i="42"/>
  <c r="J98" i="42"/>
  <c r="J90" i="42"/>
  <c r="J82" i="42"/>
  <c r="J118" i="42"/>
  <c r="J113" i="42"/>
  <c r="J100" i="42"/>
  <c r="J96" i="42"/>
  <c r="J101" i="42"/>
  <c r="J69" i="42"/>
  <c r="J63" i="42"/>
  <c r="J49" i="42"/>
  <c r="J43" i="42"/>
  <c r="J31" i="42"/>
  <c r="J91" i="42"/>
  <c r="J66" i="42"/>
  <c r="J60" i="42"/>
  <c r="J54" i="42"/>
  <c r="J42" i="42"/>
  <c r="J30" i="42"/>
  <c r="J95" i="42"/>
  <c r="J74" i="42"/>
  <c r="J57" i="42"/>
  <c r="J51" i="42"/>
  <c r="J41" i="42"/>
  <c r="J37" i="42"/>
  <c r="J29" i="42"/>
  <c r="J19" i="42"/>
  <c r="J89" i="42"/>
  <c r="J83" i="42"/>
  <c r="J75" i="42"/>
  <c r="J73" i="42"/>
  <c r="J68" i="42"/>
  <c r="J62" i="42"/>
  <c r="J56" i="42"/>
  <c r="J48" i="42"/>
  <c r="J40" i="42"/>
  <c r="J36" i="42"/>
  <c r="J28" i="42"/>
  <c r="J78" i="42"/>
  <c r="J65" i="42"/>
  <c r="J59" i="42"/>
  <c r="J53" i="42"/>
  <c r="J47" i="42"/>
  <c r="J39" i="42"/>
  <c r="J35" i="42"/>
  <c r="H24" i="42"/>
  <c r="J103" i="42"/>
  <c r="J97" i="42"/>
  <c r="J81" i="42"/>
  <c r="J67" i="42"/>
  <c r="J61" i="42"/>
  <c r="J55" i="42"/>
  <c r="J45" i="42"/>
  <c r="J33" i="42"/>
  <c r="J27" i="42"/>
  <c r="J21" i="42"/>
  <c r="X19" i="42"/>
  <c r="Z19" i="42" s="1"/>
  <c r="N26" i="42"/>
  <c r="J52" i="42"/>
  <c r="Z53" i="42"/>
  <c r="J79" i="42"/>
  <c r="D124" i="34"/>
  <c r="L124" i="34" s="1"/>
  <c r="N124" i="34" s="1"/>
  <c r="L12" i="35"/>
  <c r="F15" i="35"/>
  <c r="D18" i="35"/>
  <c r="R21" i="35"/>
  <c r="F25" i="35"/>
  <c r="F29" i="35"/>
  <c r="F33" i="35"/>
  <c r="D118" i="36"/>
  <c r="L118" i="36" s="1"/>
  <c r="N118" i="36" s="1"/>
  <c r="X120" i="36"/>
  <c r="Z120" i="36" s="1"/>
  <c r="L12" i="37"/>
  <c r="F15" i="37"/>
  <c r="D18" i="37"/>
  <c r="R21" i="37"/>
  <c r="F25" i="37"/>
  <c r="F29" i="37"/>
  <c r="F33" i="37"/>
  <c r="F36" i="37"/>
  <c r="J16" i="38"/>
  <c r="J20" i="38"/>
  <c r="V22" i="38"/>
  <c r="J22" i="39"/>
  <c r="T25" i="39"/>
  <c r="J28" i="39"/>
  <c r="V30" i="39"/>
  <c r="J34" i="39"/>
  <c r="V38" i="39"/>
  <c r="V42" i="39"/>
  <c r="J46" i="39"/>
  <c r="V54" i="39"/>
  <c r="J56" i="39"/>
  <c r="V58" i="39"/>
  <c r="J62" i="39"/>
  <c r="V66" i="39"/>
  <c r="J68" i="39"/>
  <c r="V74" i="39"/>
  <c r="J78" i="39"/>
  <c r="V82" i="39"/>
  <c r="J86" i="39"/>
  <c r="V90" i="39"/>
  <c r="J94" i="39"/>
  <c r="V98" i="39"/>
  <c r="V102" i="39"/>
  <c r="J104" i="39"/>
  <c r="J110" i="39"/>
  <c r="V112" i="39"/>
  <c r="V120" i="39"/>
  <c r="N86" i="42"/>
  <c r="X88" i="42"/>
  <c r="Z88" i="42" s="1"/>
  <c r="Z104" i="42"/>
  <c r="X27" i="45"/>
  <c r="R37" i="45"/>
  <c r="L39" i="45"/>
  <c r="N39" i="45" s="1"/>
  <c r="Z62" i="45"/>
  <c r="X91" i="45"/>
  <c r="Z91" i="45" s="1"/>
  <c r="X21" i="46"/>
  <c r="L48" i="48"/>
  <c r="N48" i="48" s="1"/>
  <c r="X72" i="48"/>
  <c r="P12" i="51"/>
  <c r="X15" i="51"/>
  <c r="Z76" i="51"/>
  <c r="P76" i="51"/>
  <c r="X76" i="51" s="1"/>
  <c r="X79" i="51"/>
  <c r="Z79" i="51" s="1"/>
  <c r="R36" i="53"/>
  <c r="R34" i="53"/>
  <c r="R31" i="53"/>
  <c r="R24" i="53"/>
  <c r="R21" i="53"/>
  <c r="R18" i="53"/>
  <c r="R29" i="53"/>
  <c r="R25" i="53"/>
  <c r="P18" i="53"/>
  <c r="R15" i="53"/>
  <c r="R22" i="53"/>
  <c r="X12" i="53"/>
  <c r="R20" i="53"/>
  <c r="R16" i="53"/>
  <c r="Z14" i="57"/>
  <c r="T16" i="57"/>
  <c r="T79" i="48"/>
  <c r="X46" i="48"/>
  <c r="Z46" i="48" s="1"/>
  <c r="Z72" i="48"/>
  <c r="R27" i="35"/>
  <c r="R31" i="35"/>
  <c r="R34" i="35"/>
  <c r="F21" i="37"/>
  <c r="R27" i="37"/>
  <c r="R31" i="37"/>
  <c r="R34" i="37"/>
  <c r="N12" i="38"/>
  <c r="V18" i="38"/>
  <c r="J22" i="38"/>
  <c r="N12" i="39"/>
  <c r="V20" i="39"/>
  <c r="H25" i="39"/>
  <c r="V32" i="39"/>
  <c r="J36" i="39"/>
  <c r="J40" i="39"/>
  <c r="V44" i="39"/>
  <c r="J48" i="39"/>
  <c r="V52" i="39"/>
  <c r="J54" i="39"/>
  <c r="J60" i="39"/>
  <c r="V64" i="39"/>
  <c r="J66" i="39"/>
  <c r="V72" i="39"/>
  <c r="J74" i="39"/>
  <c r="V76" i="39"/>
  <c r="V80" i="39"/>
  <c r="J82" i="39"/>
  <c r="V84" i="39"/>
  <c r="V88" i="39"/>
  <c r="J90" i="39"/>
  <c r="V92" i="39"/>
  <c r="J96" i="39"/>
  <c r="V100" i="39"/>
  <c r="J108" i="39"/>
  <c r="J112" i="39"/>
  <c r="J18" i="40"/>
  <c r="F24" i="40"/>
  <c r="V24" i="40"/>
  <c r="R27" i="41"/>
  <c r="R31" i="41"/>
  <c r="R34" i="41"/>
  <c r="R27" i="45"/>
  <c r="R28" i="45"/>
  <c r="Z56" i="45"/>
  <c r="L19" i="48"/>
  <c r="L20" i="48"/>
  <c r="N20" i="48" s="1"/>
  <c r="N51" i="48"/>
  <c r="L33" i="49"/>
  <c r="Z33" i="51"/>
  <c r="N60" i="51"/>
  <c r="P102" i="45"/>
  <c r="Z27" i="45"/>
  <c r="Z28" i="45"/>
  <c r="N19" i="48"/>
  <c r="F68" i="51"/>
  <c r="F65" i="51"/>
  <c r="F60" i="51"/>
  <c r="F57" i="51"/>
  <c r="F53" i="51"/>
  <c r="F41" i="51"/>
  <c r="D31" i="51"/>
  <c r="F29" i="51"/>
  <c r="F21" i="51"/>
  <c r="F77" i="51"/>
  <c r="F52" i="51"/>
  <c r="F40" i="51"/>
  <c r="F28" i="51"/>
  <c r="F20" i="51"/>
  <c r="F70" i="51"/>
  <c r="F67" i="51"/>
  <c r="F62" i="51"/>
  <c r="F59" i="51"/>
  <c r="F51" i="51"/>
  <c r="F39" i="51"/>
  <c r="F34" i="51"/>
  <c r="F33" i="51"/>
  <c r="F27" i="51"/>
  <c r="F79" i="51"/>
  <c r="F73" i="51"/>
  <c r="F50" i="51"/>
  <c r="F45" i="51"/>
  <c r="F38" i="51"/>
  <c r="F26" i="51"/>
  <c r="F69" i="51"/>
  <c r="F64" i="51"/>
  <c r="F61" i="51"/>
  <c r="F56" i="51"/>
  <c r="F49" i="51"/>
  <c r="F37" i="51"/>
  <c r="F25" i="51"/>
  <c r="F72" i="51"/>
  <c r="F48" i="51"/>
  <c r="F44" i="51"/>
  <c r="F36" i="51"/>
  <c r="F24" i="51"/>
  <c r="F19" i="51"/>
  <c r="F83" i="51"/>
  <c r="F78" i="51"/>
  <c r="F76" i="51"/>
  <c r="F71" i="51"/>
  <c r="F66" i="51"/>
  <c r="F63" i="51"/>
  <c r="F58" i="51"/>
  <c r="F55" i="51"/>
  <c r="F47" i="51"/>
  <c r="F43" i="51"/>
  <c r="F35" i="51"/>
  <c r="F23" i="51"/>
  <c r="F42" i="51"/>
  <c r="F74" i="51"/>
  <c r="V24" i="38"/>
  <c r="V22" i="39"/>
  <c r="V34" i="39"/>
  <c r="V46" i="39"/>
  <c r="V50" i="39"/>
  <c r="V62" i="39"/>
  <c r="V70" i="39"/>
  <c r="V78" i="39"/>
  <c r="V86" i="39"/>
  <c r="V94" i="39"/>
  <c r="V106" i="39"/>
  <c r="V110" i="39"/>
  <c r="V116" i="39"/>
  <c r="L24" i="43"/>
  <c r="R104" i="45"/>
  <c r="R98" i="45"/>
  <c r="R91" i="45"/>
  <c r="R86" i="45"/>
  <c r="R78" i="45"/>
  <c r="R46" i="45"/>
  <c r="R39" i="45"/>
  <c r="R34" i="45"/>
  <c r="R22" i="45"/>
  <c r="R97" i="45"/>
  <c r="R94" i="45"/>
  <c r="R85" i="45"/>
  <c r="R77" i="45"/>
  <c r="R73" i="45"/>
  <c r="R69" i="45"/>
  <c r="R66" i="45"/>
  <c r="R61" i="45"/>
  <c r="R58" i="45"/>
  <c r="R53" i="45"/>
  <c r="R50" i="45"/>
  <c r="R45" i="45"/>
  <c r="R33" i="45"/>
  <c r="R21" i="45"/>
  <c r="R84" i="45"/>
  <c r="R80" i="45"/>
  <c r="R76" i="45"/>
  <c r="R72" i="45"/>
  <c r="R44" i="45"/>
  <c r="R32" i="45"/>
  <c r="R96" i="45"/>
  <c r="R83" i="45"/>
  <c r="R75" i="45"/>
  <c r="R71" i="45"/>
  <c r="R68" i="45"/>
  <c r="R63" i="45"/>
  <c r="R60" i="45"/>
  <c r="R55" i="45"/>
  <c r="R52" i="45"/>
  <c r="R43" i="45"/>
  <c r="R31" i="45"/>
  <c r="R20" i="45"/>
  <c r="R90" i="45"/>
  <c r="R82" i="45"/>
  <c r="R79" i="45"/>
  <c r="R42" i="45"/>
  <c r="R38" i="45"/>
  <c r="R30" i="45"/>
  <c r="R25" i="45"/>
  <c r="R100" i="45"/>
  <c r="R93" i="45"/>
  <c r="R89" i="45"/>
  <c r="R74" i="45"/>
  <c r="R70" i="45"/>
  <c r="R65" i="45"/>
  <c r="R62" i="45"/>
  <c r="R57" i="45"/>
  <c r="R54" i="45"/>
  <c r="R92" i="45"/>
  <c r="R88" i="45"/>
  <c r="R81" i="45"/>
  <c r="R48" i="45"/>
  <c r="R40" i="45"/>
  <c r="R36" i="45"/>
  <c r="X12" i="45"/>
  <c r="Z12" i="45" s="1"/>
  <c r="L27" i="45"/>
  <c r="X39" i="45"/>
  <c r="Z39" i="45" s="1"/>
  <c r="R95" i="45"/>
  <c r="N13" i="47"/>
  <c r="L13" i="47"/>
  <c r="F31" i="51"/>
  <c r="Z70" i="51"/>
  <c r="T77" i="58"/>
  <c r="Z16" i="58"/>
  <c r="R22" i="35"/>
  <c r="F16" i="37"/>
  <c r="J21" i="38"/>
  <c r="V27" i="38"/>
  <c r="V31" i="38"/>
  <c r="V34" i="38"/>
  <c r="V23" i="39"/>
  <c r="J31" i="39"/>
  <c r="V35" i="39"/>
  <c r="V39" i="39"/>
  <c r="J43" i="39"/>
  <c r="V47" i="39"/>
  <c r="V51" i="39"/>
  <c r="J55" i="39"/>
  <c r="V59" i="39"/>
  <c r="J61" i="39"/>
  <c r="J67" i="39"/>
  <c r="V71" i="39"/>
  <c r="J75" i="39"/>
  <c r="J83" i="39"/>
  <c r="V87" i="39"/>
  <c r="J91" i="39"/>
  <c r="V95" i="39"/>
  <c r="J99" i="39"/>
  <c r="J103" i="39"/>
  <c r="V107" i="39"/>
  <c r="J109" i="39"/>
  <c r="J27" i="40"/>
  <c r="J31" i="40"/>
  <c r="J34" i="40"/>
  <c r="Z80" i="42"/>
  <c r="R41" i="45"/>
  <c r="R87" i="45"/>
  <c r="N94" i="45"/>
  <c r="X19" i="48"/>
  <c r="N61" i="48"/>
  <c r="L12" i="51"/>
  <c r="N12" i="51" s="1"/>
  <c r="Z45" i="51"/>
  <c r="N56" i="51"/>
  <c r="X66" i="51"/>
  <c r="Z66" i="51" s="1"/>
  <c r="N68" i="51"/>
  <c r="L68" i="51"/>
  <c r="X24" i="53"/>
  <c r="R15" i="35"/>
  <c r="P18" i="35"/>
  <c r="R25" i="35"/>
  <c r="R29" i="35"/>
  <c r="R33" i="35"/>
  <c r="R25" i="37"/>
  <c r="R29" i="37"/>
  <c r="R33" i="37"/>
  <c r="Z12" i="38"/>
  <c r="V16" i="38"/>
  <c r="V28" i="39"/>
  <c r="J32" i="39"/>
  <c r="V36" i="39"/>
  <c r="V40" i="39"/>
  <c r="J44" i="39"/>
  <c r="V48" i="39"/>
  <c r="J50" i="39"/>
  <c r="V56" i="39"/>
  <c r="V60" i="39"/>
  <c r="J64" i="39"/>
  <c r="V68" i="39"/>
  <c r="J70" i="39"/>
  <c r="J76" i="39"/>
  <c r="J80" i="39"/>
  <c r="J84" i="39"/>
  <c r="J92" i="39"/>
  <c r="V96" i="39"/>
  <c r="J100" i="39"/>
  <c r="V104" i="39"/>
  <c r="J106" i="39"/>
  <c r="V108" i="39"/>
  <c r="J113" i="39"/>
  <c r="J16" i="40"/>
  <c r="R15" i="41"/>
  <c r="P18" i="41"/>
  <c r="R25" i="41"/>
  <c r="R29" i="41"/>
  <c r="R33" i="41"/>
  <c r="Z102" i="42"/>
  <c r="Z110" i="42"/>
  <c r="V21" i="44"/>
  <c r="V18" i="44"/>
  <c r="V36" i="44"/>
  <c r="V33" i="44"/>
  <c r="V29" i="44"/>
  <c r="V25" i="44"/>
  <c r="T18" i="44"/>
  <c r="V15" i="44"/>
  <c r="V22" i="44"/>
  <c r="V34" i="44"/>
  <c r="V31" i="44"/>
  <c r="V27" i="44"/>
  <c r="X12" i="44"/>
  <c r="V24" i="44"/>
  <c r="R35" i="45"/>
  <c r="R47" i="45"/>
  <c r="Z19" i="48"/>
  <c r="L25" i="49"/>
  <c r="L33" i="51"/>
  <c r="N33" i="51" s="1"/>
  <c r="N62" i="51"/>
  <c r="D76" i="51"/>
  <c r="L76" i="51" s="1"/>
  <c r="R27" i="53"/>
  <c r="X66" i="56"/>
  <c r="Z66" i="56" s="1"/>
  <c r="N68" i="56"/>
  <c r="L68" i="56"/>
  <c r="J24" i="43"/>
  <c r="J21" i="44"/>
  <c r="F27" i="44"/>
  <c r="F31" i="44"/>
  <c r="F34" i="44"/>
  <c r="J31" i="45"/>
  <c r="J43" i="45"/>
  <c r="J55" i="45"/>
  <c r="J63" i="45"/>
  <c r="J71" i="45"/>
  <c r="J75" i="45"/>
  <c r="J83" i="45"/>
  <c r="J15" i="46"/>
  <c r="H18" i="46"/>
  <c r="J25" i="46"/>
  <c r="R27" i="46"/>
  <c r="J29" i="46"/>
  <c r="R31" i="46"/>
  <c r="J33" i="46"/>
  <c r="R34" i="46"/>
  <c r="J36" i="46"/>
  <c r="F18" i="47"/>
  <c r="D17" i="48"/>
  <c r="J20" i="48"/>
  <c r="V22" i="48"/>
  <c r="R23" i="48"/>
  <c r="J26" i="48"/>
  <c r="F27" i="48"/>
  <c r="V30" i="48"/>
  <c r="V34" i="48"/>
  <c r="R35" i="48"/>
  <c r="J38" i="48"/>
  <c r="F39" i="48"/>
  <c r="F43" i="48"/>
  <c r="R44" i="48"/>
  <c r="F46" i="48"/>
  <c r="V46" i="48"/>
  <c r="R47" i="48"/>
  <c r="J48" i="48"/>
  <c r="V50" i="48"/>
  <c r="J54" i="48"/>
  <c r="V58" i="48"/>
  <c r="R59" i="48"/>
  <c r="V62" i="48"/>
  <c r="V66" i="48"/>
  <c r="J70" i="48"/>
  <c r="F72" i="48"/>
  <c r="V72" i="48"/>
  <c r="J15" i="49"/>
  <c r="H18" i="49"/>
  <c r="F21" i="49"/>
  <c r="V21" i="49"/>
  <c r="L22" i="49"/>
  <c r="J25" i="49"/>
  <c r="R27" i="49"/>
  <c r="J29" i="49"/>
  <c r="R31" i="49"/>
  <c r="J33" i="49"/>
  <c r="R34" i="49"/>
  <c r="J36" i="49"/>
  <c r="N12" i="50"/>
  <c r="F18" i="50"/>
  <c r="V18" i="50"/>
  <c r="J22" i="50"/>
  <c r="R24" i="50"/>
  <c r="J22" i="51"/>
  <c r="V26" i="51"/>
  <c r="H31" i="51"/>
  <c r="V38" i="51"/>
  <c r="J42" i="51"/>
  <c r="J46" i="51"/>
  <c r="V50" i="51"/>
  <c r="J54" i="51"/>
  <c r="V58" i="51"/>
  <c r="J60" i="51"/>
  <c r="V66" i="51"/>
  <c r="J68" i="51"/>
  <c r="J74" i="51"/>
  <c r="V76" i="51"/>
  <c r="X12" i="52"/>
  <c r="J21" i="52"/>
  <c r="F27" i="52"/>
  <c r="F31" i="52"/>
  <c r="F34" i="52"/>
  <c r="J18" i="53"/>
  <c r="F24" i="53"/>
  <c r="V24" i="53"/>
  <c r="F31" i="53"/>
  <c r="L18" i="55"/>
  <c r="N18" i="55" s="1"/>
  <c r="F69" i="56"/>
  <c r="F57" i="56"/>
  <c r="F53" i="56"/>
  <c r="F48" i="56"/>
  <c r="F45" i="56"/>
  <c r="F40" i="56"/>
  <c r="F33" i="56"/>
  <c r="F21" i="56"/>
  <c r="F79" i="56"/>
  <c r="F73" i="56"/>
  <c r="F63" i="56"/>
  <c r="F60" i="56"/>
  <c r="F56" i="56"/>
  <c r="F32" i="56"/>
  <c r="F28" i="56"/>
  <c r="F20" i="56"/>
  <c r="F77" i="56"/>
  <c r="F71" i="56"/>
  <c r="F66" i="56"/>
  <c r="F59" i="56"/>
  <c r="F55" i="56"/>
  <c r="F50" i="56"/>
  <c r="F47" i="56"/>
  <c r="F42" i="56"/>
  <c r="F39" i="56"/>
  <c r="F31" i="56"/>
  <c r="F27" i="56"/>
  <c r="F16" i="56"/>
  <c r="F68" i="56"/>
  <c r="F65" i="56"/>
  <c r="F52" i="56"/>
  <c r="F49" i="56"/>
  <c r="F44" i="56"/>
  <c r="F41" i="56"/>
  <c r="F37" i="56"/>
  <c r="F25" i="56"/>
  <c r="F82" i="56"/>
  <c r="F75" i="56"/>
  <c r="F64" i="56"/>
  <c r="F36" i="56"/>
  <c r="F24" i="56"/>
  <c r="F19" i="56"/>
  <c r="F18" i="56"/>
  <c r="L12" i="56"/>
  <c r="F70" i="56"/>
  <c r="F67" i="56"/>
  <c r="F58" i="56"/>
  <c r="F54" i="56"/>
  <c r="F51" i="56"/>
  <c r="F46" i="56"/>
  <c r="F43" i="56"/>
  <c r="F35" i="56"/>
  <c r="F23" i="56"/>
  <c r="F14" i="56"/>
  <c r="F30" i="56"/>
  <c r="N42" i="56"/>
  <c r="N50" i="56"/>
  <c r="N54" i="56"/>
  <c r="Z58" i="56"/>
  <c r="Z40" i="57"/>
  <c r="X63" i="59"/>
  <c r="Z63" i="59" s="1"/>
  <c r="L80" i="62"/>
  <c r="N80" i="62" s="1"/>
  <c r="V45" i="64"/>
  <c r="V41" i="64"/>
  <c r="V33" i="64"/>
  <c r="V48" i="64"/>
  <c r="V44" i="64"/>
  <c r="V36" i="64"/>
  <c r="V24" i="64"/>
  <c r="V22" i="64"/>
  <c r="V63" i="64"/>
  <c r="V57" i="64"/>
  <c r="V51" i="64"/>
  <c r="V47" i="64"/>
  <c r="V43" i="64"/>
  <c r="V35" i="64"/>
  <c r="V27" i="64"/>
  <c r="T22" i="64"/>
  <c r="V50" i="64"/>
  <c r="V46" i="64"/>
  <c r="V38" i="64"/>
  <c r="V30" i="64"/>
  <c r="V26" i="64"/>
  <c r="V52" i="64"/>
  <c r="V40" i="64"/>
  <c r="V32" i="64"/>
  <c r="V28" i="64"/>
  <c r="V20" i="64"/>
  <c r="Z12" i="64"/>
  <c r="V66" i="64"/>
  <c r="V61" i="64"/>
  <c r="V59" i="64"/>
  <c r="V55" i="64"/>
  <c r="V39" i="64"/>
  <c r="V31" i="64"/>
  <c r="V19" i="64"/>
  <c r="V53" i="64"/>
  <c r="V37" i="64"/>
  <c r="V34" i="64"/>
  <c r="V49" i="64"/>
  <c r="V42" i="64"/>
  <c r="V29" i="64"/>
  <c r="V18" i="64"/>
  <c r="V25" i="64"/>
  <c r="V54" i="64"/>
  <c r="L14" i="64"/>
  <c r="D12" i="64"/>
  <c r="J66" i="45"/>
  <c r="J72" i="45"/>
  <c r="J76" i="45"/>
  <c r="J80" i="45"/>
  <c r="J84" i="45"/>
  <c r="J94" i="45"/>
  <c r="R16" i="46"/>
  <c r="J18" i="46"/>
  <c r="R20" i="46"/>
  <c r="F24" i="46"/>
  <c r="V24" i="46"/>
  <c r="J15" i="47"/>
  <c r="H18" i="47"/>
  <c r="F21" i="47"/>
  <c r="V21" i="47"/>
  <c r="J25" i="47"/>
  <c r="R27" i="47"/>
  <c r="J29" i="47"/>
  <c r="R31" i="47"/>
  <c r="J33" i="47"/>
  <c r="R34" i="47"/>
  <c r="J36" i="47"/>
  <c r="F17" i="48"/>
  <c r="V17" i="48"/>
  <c r="J19" i="48"/>
  <c r="V19" i="48"/>
  <c r="V23" i="48"/>
  <c r="R24" i="48"/>
  <c r="J27" i="48"/>
  <c r="F28" i="48"/>
  <c r="F32" i="48"/>
  <c r="V35" i="48"/>
  <c r="R36" i="48"/>
  <c r="J39" i="48"/>
  <c r="F40" i="48"/>
  <c r="J43" i="48"/>
  <c r="V47" i="48"/>
  <c r="F52" i="48"/>
  <c r="R53" i="48"/>
  <c r="F55" i="48"/>
  <c r="V55" i="48"/>
  <c r="R56" i="48"/>
  <c r="J57" i="48"/>
  <c r="V59" i="48"/>
  <c r="R60" i="48"/>
  <c r="J61" i="48"/>
  <c r="F64" i="48"/>
  <c r="F68" i="48"/>
  <c r="R69" i="48"/>
  <c r="R16" i="49"/>
  <c r="J18" i="49"/>
  <c r="R20" i="49"/>
  <c r="F24" i="49"/>
  <c r="V24" i="49"/>
  <c r="J15" i="50"/>
  <c r="H18" i="50"/>
  <c r="F21" i="50"/>
  <c r="V21" i="50"/>
  <c r="J25" i="50"/>
  <c r="R27" i="50"/>
  <c r="J29" i="50"/>
  <c r="R31" i="50"/>
  <c r="J33" i="50"/>
  <c r="R34" i="50"/>
  <c r="J36" i="50"/>
  <c r="V19" i="51"/>
  <c r="J23" i="51"/>
  <c r="V27" i="51"/>
  <c r="J35" i="51"/>
  <c r="V39" i="51"/>
  <c r="J43" i="51"/>
  <c r="J47" i="51"/>
  <c r="V51" i="51"/>
  <c r="J55" i="51"/>
  <c r="V59" i="51"/>
  <c r="J63" i="51"/>
  <c r="V67" i="51"/>
  <c r="J71" i="51"/>
  <c r="J78" i="51"/>
  <c r="V79" i="51"/>
  <c r="J83" i="51"/>
  <c r="F16" i="52"/>
  <c r="F20" i="52"/>
  <c r="R22" i="52"/>
  <c r="J24" i="52"/>
  <c r="J21" i="53"/>
  <c r="F27" i="53"/>
  <c r="V27" i="53"/>
  <c r="V33" i="53"/>
  <c r="V22" i="54"/>
  <c r="X21" i="55"/>
  <c r="Z21" i="55" s="1"/>
  <c r="L23" i="55"/>
  <c r="N23" i="55" s="1"/>
  <c r="Z25" i="55"/>
  <c r="X18" i="56"/>
  <c r="Z18" i="56" s="1"/>
  <c r="F29" i="56"/>
  <c r="Z68" i="56"/>
  <c r="X43" i="59"/>
  <c r="Z43" i="59" s="1"/>
  <c r="L107" i="42"/>
  <c r="N107" i="42" s="1"/>
  <c r="J16" i="43"/>
  <c r="J20" i="43"/>
  <c r="V22" i="43"/>
  <c r="L34" i="43"/>
  <c r="X16" i="44"/>
  <c r="P18" i="44"/>
  <c r="X20" i="44"/>
  <c r="R25" i="44"/>
  <c r="J27" i="44"/>
  <c r="R29" i="44"/>
  <c r="J31" i="44"/>
  <c r="R33" i="44"/>
  <c r="J34" i="44"/>
  <c r="R36" i="44"/>
  <c r="D12" i="45"/>
  <c r="J21" i="45"/>
  <c r="J33" i="45"/>
  <c r="J39" i="45"/>
  <c r="J45" i="45"/>
  <c r="J53" i="45"/>
  <c r="J61" i="45"/>
  <c r="L66" i="45"/>
  <c r="N66" i="45" s="1"/>
  <c r="J69" i="45"/>
  <c r="J73" i="45"/>
  <c r="J77" i="45"/>
  <c r="J85" i="45"/>
  <c r="J91" i="45"/>
  <c r="J97" i="45"/>
  <c r="X12" i="46"/>
  <c r="J21" i="46"/>
  <c r="F27" i="46"/>
  <c r="V27" i="46"/>
  <c r="F31" i="46"/>
  <c r="V31" i="46"/>
  <c r="F34" i="46"/>
  <c r="V34" i="46"/>
  <c r="R16" i="47"/>
  <c r="J18" i="47"/>
  <c r="R20" i="47"/>
  <c r="F24" i="47"/>
  <c r="V24" i="47"/>
  <c r="H17" i="48"/>
  <c r="F21" i="48"/>
  <c r="V24" i="48"/>
  <c r="R25" i="48"/>
  <c r="J28" i="48"/>
  <c r="F29" i="48"/>
  <c r="J32" i="48"/>
  <c r="F33" i="48"/>
  <c r="V36" i="48"/>
  <c r="R37" i="48"/>
  <c r="J40" i="48"/>
  <c r="F41" i="48"/>
  <c r="R42" i="48"/>
  <c r="F44" i="48"/>
  <c r="V44" i="48"/>
  <c r="R45" i="48"/>
  <c r="J46" i="48"/>
  <c r="F49" i="48"/>
  <c r="J52" i="48"/>
  <c r="X55" i="48"/>
  <c r="Z55" i="48" s="1"/>
  <c r="V56" i="48"/>
  <c r="V60" i="48"/>
  <c r="L61" i="48"/>
  <c r="J64" i="48"/>
  <c r="F65" i="48"/>
  <c r="J68" i="48"/>
  <c r="J72" i="48"/>
  <c r="R73" i="48"/>
  <c r="F77" i="48"/>
  <c r="J21" i="49"/>
  <c r="F27" i="49"/>
  <c r="V27" i="49"/>
  <c r="F31" i="49"/>
  <c r="V31" i="49"/>
  <c r="F34" i="49"/>
  <c r="V34" i="49"/>
  <c r="R16" i="50"/>
  <c r="J18" i="50"/>
  <c r="R20" i="50"/>
  <c r="F24" i="50"/>
  <c r="V24" i="50"/>
  <c r="L25" i="50"/>
  <c r="V20" i="51"/>
  <c r="J24" i="51"/>
  <c r="V28" i="51"/>
  <c r="J36" i="51"/>
  <c r="V40" i="51"/>
  <c r="J44" i="51"/>
  <c r="J48" i="51"/>
  <c r="V52" i="51"/>
  <c r="V56" i="51"/>
  <c r="J58" i="51"/>
  <c r="V64" i="51"/>
  <c r="J66" i="51"/>
  <c r="J72" i="51"/>
  <c r="J76" i="51"/>
  <c r="R15" i="52"/>
  <c r="P18" i="52"/>
  <c r="R25" i="52"/>
  <c r="J27" i="52"/>
  <c r="R29" i="52"/>
  <c r="J31" i="52"/>
  <c r="R33" i="52"/>
  <c r="J34" i="52"/>
  <c r="R36" i="52"/>
  <c r="Z12" i="53"/>
  <c r="F16" i="53"/>
  <c r="V16" i="53"/>
  <c r="F20" i="53"/>
  <c r="V20" i="53"/>
  <c r="J24" i="53"/>
  <c r="J31" i="53"/>
  <c r="L33" i="53"/>
  <c r="V34" i="53"/>
  <c r="V26" i="54"/>
  <c r="V28" i="54"/>
  <c r="N19" i="55"/>
  <c r="R70" i="56"/>
  <c r="R65" i="56"/>
  <c r="R58" i="56"/>
  <c r="R54" i="56"/>
  <c r="R49" i="56"/>
  <c r="R46" i="56"/>
  <c r="R41" i="56"/>
  <c r="R37" i="56"/>
  <c r="R25" i="56"/>
  <c r="R14" i="56"/>
  <c r="R64" i="56"/>
  <c r="R61" i="56"/>
  <c r="R36" i="56"/>
  <c r="R29" i="56"/>
  <c r="R24" i="56"/>
  <c r="X12" i="56"/>
  <c r="R67" i="56"/>
  <c r="R51" i="56"/>
  <c r="R48" i="56"/>
  <c r="R43" i="56"/>
  <c r="R40" i="56"/>
  <c r="R35" i="56"/>
  <c r="R23" i="56"/>
  <c r="R69" i="56"/>
  <c r="R66" i="56"/>
  <c r="R57" i="56"/>
  <c r="R53" i="56"/>
  <c r="R50" i="56"/>
  <c r="R45" i="56"/>
  <c r="R42" i="56"/>
  <c r="R33" i="56"/>
  <c r="R21" i="56"/>
  <c r="R16" i="56"/>
  <c r="R60" i="56"/>
  <c r="R56" i="56"/>
  <c r="R32" i="56"/>
  <c r="R28" i="56"/>
  <c r="R20" i="56"/>
  <c r="R18" i="56"/>
  <c r="P16" i="56"/>
  <c r="R77" i="56"/>
  <c r="R71" i="56"/>
  <c r="R68" i="56"/>
  <c r="R59" i="56"/>
  <c r="R55" i="56"/>
  <c r="R52" i="56"/>
  <c r="R47" i="56"/>
  <c r="R44" i="56"/>
  <c r="R39" i="56"/>
  <c r="R31" i="56"/>
  <c r="R27" i="56"/>
  <c r="R30" i="56"/>
  <c r="L40" i="56"/>
  <c r="X46" i="56"/>
  <c r="Z46" i="56" s="1"/>
  <c r="L48" i="56"/>
  <c r="X54" i="56"/>
  <c r="Z54" i="56" s="1"/>
  <c r="R73" i="56"/>
  <c r="N18" i="60"/>
  <c r="T57" i="61"/>
  <c r="Z16" i="61"/>
  <c r="D110" i="42"/>
  <c r="L110" i="42" s="1"/>
  <c r="N110" i="42" s="1"/>
  <c r="T18" i="43"/>
  <c r="V25" i="43"/>
  <c r="V29" i="43"/>
  <c r="V33" i="43"/>
  <c r="V36" i="43"/>
  <c r="J16" i="44"/>
  <c r="J20" i="44"/>
  <c r="F22" i="44"/>
  <c r="J22" i="45"/>
  <c r="J28" i="45"/>
  <c r="J34" i="45"/>
  <c r="J46" i="45"/>
  <c r="J56" i="45"/>
  <c r="J64" i="45"/>
  <c r="J78" i="45"/>
  <c r="J86" i="45"/>
  <c r="J98" i="45"/>
  <c r="J104" i="45"/>
  <c r="Z12" i="46"/>
  <c r="F16" i="46"/>
  <c r="V16" i="46"/>
  <c r="F20" i="46"/>
  <c r="V20" i="46"/>
  <c r="R22" i="46"/>
  <c r="J24" i="46"/>
  <c r="J21" i="47"/>
  <c r="F27" i="47"/>
  <c r="V27" i="47"/>
  <c r="F31" i="47"/>
  <c r="V31" i="47"/>
  <c r="F34" i="47"/>
  <c r="V34" i="47"/>
  <c r="X12" i="48"/>
  <c r="R15" i="48"/>
  <c r="J21" i="48"/>
  <c r="F22" i="48"/>
  <c r="V25" i="48"/>
  <c r="R26" i="48"/>
  <c r="J29" i="48"/>
  <c r="F30" i="48"/>
  <c r="R31" i="48"/>
  <c r="J33" i="48"/>
  <c r="F34" i="48"/>
  <c r="V37" i="48"/>
  <c r="R38" i="48"/>
  <c r="J41" i="48"/>
  <c r="V45" i="48"/>
  <c r="J49" i="48"/>
  <c r="F50" i="48"/>
  <c r="R51" i="48"/>
  <c r="F53" i="48"/>
  <c r="V53" i="48"/>
  <c r="R54" i="48"/>
  <c r="J55" i="48"/>
  <c r="F58" i="48"/>
  <c r="F62" i="48"/>
  <c r="R63" i="48"/>
  <c r="J65" i="48"/>
  <c r="F66" i="48"/>
  <c r="R67" i="48"/>
  <c r="F69" i="48"/>
  <c r="V69" i="48"/>
  <c r="R70" i="48"/>
  <c r="V73" i="48"/>
  <c r="J77" i="48"/>
  <c r="V79" i="48"/>
  <c r="Z12" i="49"/>
  <c r="F16" i="49"/>
  <c r="V16" i="49"/>
  <c r="F20" i="49"/>
  <c r="V20" i="49"/>
  <c r="R22" i="49"/>
  <c r="J24" i="49"/>
  <c r="X12" i="50"/>
  <c r="J21" i="50"/>
  <c r="F27" i="50"/>
  <c r="V27" i="50"/>
  <c r="F31" i="50"/>
  <c r="V31" i="50"/>
  <c r="F34" i="50"/>
  <c r="V34" i="50"/>
  <c r="J25" i="51"/>
  <c r="V29" i="51"/>
  <c r="J37" i="51"/>
  <c r="V41" i="51"/>
  <c r="V45" i="51"/>
  <c r="J49" i="51"/>
  <c r="V53" i="51"/>
  <c r="V57" i="51"/>
  <c r="J61" i="51"/>
  <c r="V65" i="51"/>
  <c r="J69" i="51"/>
  <c r="V73" i="51"/>
  <c r="V77" i="51"/>
  <c r="J16" i="52"/>
  <c r="J20" i="52"/>
  <c r="F22" i="52"/>
  <c r="F33" i="53"/>
  <c r="P26" i="54"/>
  <c r="D79" i="56"/>
  <c r="F26" i="56"/>
  <c r="N40" i="56"/>
  <c r="X42" i="56"/>
  <c r="Z42" i="56" s="1"/>
  <c r="L44" i="56"/>
  <c r="N44" i="56" s="1"/>
  <c r="N48" i="56"/>
  <c r="X50" i="56"/>
  <c r="Z50" i="56" s="1"/>
  <c r="L52" i="56"/>
  <c r="N52" i="56" s="1"/>
  <c r="J26" i="57"/>
  <c r="X68" i="58"/>
  <c r="Z68" i="58" s="1"/>
  <c r="F62" i="59"/>
  <c r="F53" i="59"/>
  <c r="F42" i="59"/>
  <c r="F38" i="59"/>
  <c r="F26" i="59"/>
  <c r="D16" i="59"/>
  <c r="F72" i="59"/>
  <c r="F66" i="59"/>
  <c r="F56" i="59"/>
  <c r="F48" i="59"/>
  <c r="F45" i="59"/>
  <c r="F37" i="59"/>
  <c r="F25" i="59"/>
  <c r="F70" i="59"/>
  <c r="F64" i="59"/>
  <c r="F52" i="59"/>
  <c r="F44" i="59"/>
  <c r="F36" i="59"/>
  <c r="F24" i="59"/>
  <c r="F19" i="59"/>
  <c r="F18" i="59"/>
  <c r="L12" i="59"/>
  <c r="F58" i="59"/>
  <c r="F55" i="59"/>
  <c r="F51" i="59"/>
  <c r="F47" i="59"/>
  <c r="F35" i="59"/>
  <c r="F30" i="59"/>
  <c r="F23" i="59"/>
  <c r="F14" i="59"/>
  <c r="F63" i="59"/>
  <c r="F60" i="59"/>
  <c r="F43" i="59"/>
  <c r="F40" i="59"/>
  <c r="F32" i="59"/>
  <c r="F28" i="59"/>
  <c r="F20" i="59"/>
  <c r="F68" i="59"/>
  <c r="F49" i="59"/>
  <c r="F61" i="59"/>
  <c r="F41" i="59"/>
  <c r="F31" i="59"/>
  <c r="F27" i="59"/>
  <c r="F22" i="59"/>
  <c r="F75" i="59"/>
  <c r="F57" i="59"/>
  <c r="F50" i="59"/>
  <c r="F16" i="59"/>
  <c r="F59" i="59"/>
  <c r="F39" i="59"/>
  <c r="F33" i="59"/>
  <c r="F29" i="59"/>
  <c r="X58" i="59"/>
  <c r="Z58" i="59" s="1"/>
  <c r="N12" i="43"/>
  <c r="V18" i="43"/>
  <c r="J22" i="43"/>
  <c r="R24" i="43"/>
  <c r="L12" i="44"/>
  <c r="F15" i="44"/>
  <c r="D18" i="44"/>
  <c r="R21" i="44"/>
  <c r="F25" i="44"/>
  <c r="F29" i="44"/>
  <c r="F33" i="44"/>
  <c r="F36" i="44"/>
  <c r="X16" i="45"/>
  <c r="J23" i="45"/>
  <c r="J27" i="45"/>
  <c r="J35" i="45"/>
  <c r="J47" i="45"/>
  <c r="J51" i="45"/>
  <c r="J59" i="45"/>
  <c r="J67" i="45"/>
  <c r="J81" i="45"/>
  <c r="J87" i="45"/>
  <c r="J95" i="45"/>
  <c r="R15" i="46"/>
  <c r="P18" i="46"/>
  <c r="R25" i="46"/>
  <c r="J27" i="46"/>
  <c r="R29" i="46"/>
  <c r="J31" i="46"/>
  <c r="R33" i="46"/>
  <c r="J34" i="46"/>
  <c r="R36" i="46"/>
  <c r="Z12" i="47"/>
  <c r="F16" i="47"/>
  <c r="V16" i="47"/>
  <c r="F20" i="47"/>
  <c r="V20" i="47"/>
  <c r="R22" i="47"/>
  <c r="J24" i="47"/>
  <c r="Z12" i="48"/>
  <c r="R20" i="48"/>
  <c r="J22" i="48"/>
  <c r="F23" i="48"/>
  <c r="V26" i="48"/>
  <c r="R27" i="48"/>
  <c r="J30" i="48"/>
  <c r="J34" i="48"/>
  <c r="F35" i="48"/>
  <c r="V38" i="48"/>
  <c r="R39" i="48"/>
  <c r="F42" i="48"/>
  <c r="V42" i="48"/>
  <c r="R43" i="48"/>
  <c r="J44" i="48"/>
  <c r="F47" i="48"/>
  <c r="R48" i="48"/>
  <c r="J50" i="48"/>
  <c r="V54" i="48"/>
  <c r="J58" i="48"/>
  <c r="F59" i="48"/>
  <c r="J62" i="48"/>
  <c r="J66" i="48"/>
  <c r="V70" i="48"/>
  <c r="R15" i="49"/>
  <c r="X16" i="49"/>
  <c r="P18" i="49"/>
  <c r="R25" i="49"/>
  <c r="J27" i="49"/>
  <c r="R29" i="49"/>
  <c r="J31" i="49"/>
  <c r="R33" i="49"/>
  <c r="J34" i="49"/>
  <c r="R36" i="49"/>
  <c r="Z12" i="50"/>
  <c r="F16" i="50"/>
  <c r="V16" i="50"/>
  <c r="F20" i="50"/>
  <c r="V20" i="50"/>
  <c r="R22" i="50"/>
  <c r="J24" i="50"/>
  <c r="L16" i="51"/>
  <c r="V22" i="51"/>
  <c r="J26" i="51"/>
  <c r="V34" i="51"/>
  <c r="J38" i="51"/>
  <c r="V42" i="51"/>
  <c r="V46" i="51"/>
  <c r="J50" i="51"/>
  <c r="V54" i="51"/>
  <c r="J56" i="51"/>
  <c r="V62" i="51"/>
  <c r="J64" i="51"/>
  <c r="V70" i="51"/>
  <c r="V74" i="51"/>
  <c r="J79" i="51"/>
  <c r="L12" i="52"/>
  <c r="F15" i="52"/>
  <c r="D18" i="52"/>
  <c r="R21" i="52"/>
  <c r="F25" i="52"/>
  <c r="F29" i="52"/>
  <c r="F33" i="52"/>
  <c r="F36" i="52"/>
  <c r="J36" i="53"/>
  <c r="J33" i="53"/>
  <c r="J16" i="53"/>
  <c r="J20" i="53"/>
  <c r="F22" i="53"/>
  <c r="V22" i="53"/>
  <c r="F34" i="53"/>
  <c r="F36" i="53"/>
  <c r="J29" i="54"/>
  <c r="J26" i="54"/>
  <c r="J20" i="54"/>
  <c r="J16" i="54"/>
  <c r="H16" i="54"/>
  <c r="J31" i="54"/>
  <c r="J28" i="54"/>
  <c r="J22" i="54"/>
  <c r="J18" i="54"/>
  <c r="J14" i="54"/>
  <c r="N12" i="54"/>
  <c r="L12" i="54"/>
  <c r="X18" i="55"/>
  <c r="Z18" i="55" s="1"/>
  <c r="Z19" i="55"/>
  <c r="F62" i="56"/>
  <c r="N66" i="56"/>
  <c r="T109" i="62"/>
  <c r="J15" i="43"/>
  <c r="H18" i="43"/>
  <c r="V21" i="43"/>
  <c r="J25" i="43"/>
  <c r="R27" i="43"/>
  <c r="J29" i="43"/>
  <c r="R31" i="43"/>
  <c r="J33" i="43"/>
  <c r="R34" i="43"/>
  <c r="J36" i="43"/>
  <c r="N12" i="44"/>
  <c r="F18" i="44"/>
  <c r="J22" i="44"/>
  <c r="R24" i="44"/>
  <c r="H25" i="45"/>
  <c r="J36" i="45"/>
  <c r="J40" i="45"/>
  <c r="J48" i="45"/>
  <c r="J54" i="45"/>
  <c r="J62" i="45"/>
  <c r="J70" i="45"/>
  <c r="J74" i="45"/>
  <c r="J88" i="45"/>
  <c r="J92" i="45"/>
  <c r="J100" i="45"/>
  <c r="J16" i="46"/>
  <c r="R18" i="46"/>
  <c r="R25" i="47"/>
  <c r="J27" i="47"/>
  <c r="R29" i="47"/>
  <c r="J31" i="47"/>
  <c r="R33" i="47"/>
  <c r="J34" i="47"/>
  <c r="R36" i="47"/>
  <c r="F15" i="48"/>
  <c r="J23" i="48"/>
  <c r="F24" i="48"/>
  <c r="V27" i="48"/>
  <c r="R28" i="48"/>
  <c r="F31" i="48"/>
  <c r="V31" i="48"/>
  <c r="R32" i="48"/>
  <c r="J35" i="48"/>
  <c r="F36" i="48"/>
  <c r="V39" i="48"/>
  <c r="R40" i="48"/>
  <c r="V43" i="48"/>
  <c r="J47" i="48"/>
  <c r="F51" i="48"/>
  <c r="V51" i="48"/>
  <c r="R52" i="48"/>
  <c r="J53" i="48"/>
  <c r="F56" i="48"/>
  <c r="R57" i="48"/>
  <c r="J59" i="48"/>
  <c r="F60" i="48"/>
  <c r="R61" i="48"/>
  <c r="F63" i="48"/>
  <c r="V63" i="48"/>
  <c r="R64" i="48"/>
  <c r="F67" i="48"/>
  <c r="V67" i="48"/>
  <c r="R68" i="48"/>
  <c r="J69" i="48"/>
  <c r="F73" i="48"/>
  <c r="J16" i="49"/>
  <c r="R18" i="49"/>
  <c r="F22" i="49"/>
  <c r="V22" i="49"/>
  <c r="R15" i="50"/>
  <c r="P18" i="50"/>
  <c r="R25" i="50"/>
  <c r="J27" i="50"/>
  <c r="R29" i="50"/>
  <c r="J31" i="50"/>
  <c r="R33" i="50"/>
  <c r="J34" i="50"/>
  <c r="R36" i="50"/>
  <c r="V23" i="51"/>
  <c r="J27" i="51"/>
  <c r="V35" i="51"/>
  <c r="J39" i="51"/>
  <c r="V43" i="51"/>
  <c r="J45" i="51"/>
  <c r="V47" i="51"/>
  <c r="J51" i="51"/>
  <c r="V55" i="51"/>
  <c r="J59" i="51"/>
  <c r="V63" i="51"/>
  <c r="J67" i="51"/>
  <c r="V71" i="51"/>
  <c r="J73" i="51"/>
  <c r="V83" i="51"/>
  <c r="N12" i="52"/>
  <c r="X15" i="52"/>
  <c r="F18" i="52"/>
  <c r="J22" i="52"/>
  <c r="R24" i="52"/>
  <c r="L12" i="53"/>
  <c r="F15" i="53"/>
  <c r="V15" i="53"/>
  <c r="D18" i="53"/>
  <c r="T18" i="53"/>
  <c r="L20" i="53"/>
  <c r="F25" i="53"/>
  <c r="V25" i="53"/>
  <c r="F29" i="53"/>
  <c r="V29" i="53"/>
  <c r="Z16" i="56"/>
  <c r="T75" i="56"/>
  <c r="F61" i="56"/>
  <c r="J72" i="57"/>
  <c r="J59" i="57"/>
  <c r="J53" i="57"/>
  <c r="J49" i="57"/>
  <c r="J41" i="57"/>
  <c r="J37" i="57"/>
  <c r="J25" i="57"/>
  <c r="J19" i="57"/>
  <c r="J70" i="57"/>
  <c r="J64" i="57"/>
  <c r="J52" i="57"/>
  <c r="J46" i="57"/>
  <c r="J36" i="57"/>
  <c r="J24" i="57"/>
  <c r="J61" i="57"/>
  <c r="J55" i="57"/>
  <c r="J51" i="57"/>
  <c r="J43" i="57"/>
  <c r="J35" i="57"/>
  <c r="J29" i="57"/>
  <c r="J23" i="57"/>
  <c r="J60" i="57"/>
  <c r="J54" i="57"/>
  <c r="J50" i="57"/>
  <c r="J42" i="57"/>
  <c r="J32" i="57"/>
  <c r="J28" i="57"/>
  <c r="J20" i="57"/>
  <c r="J16" i="57"/>
  <c r="J56" i="57"/>
  <c r="J27" i="57"/>
  <c r="J22" i="57"/>
  <c r="J57" i="57"/>
  <c r="J63" i="57"/>
  <c r="J58" i="57"/>
  <c r="J30" i="57"/>
  <c r="J68" i="57"/>
  <c r="J66" i="57"/>
  <c r="J45" i="57"/>
  <c r="J39" i="57"/>
  <c r="J18" i="57"/>
  <c r="J75" i="57"/>
  <c r="J62" i="57"/>
  <c r="J48" i="57"/>
  <c r="J38" i="57"/>
  <c r="J47" i="57"/>
  <c r="J33" i="57"/>
  <c r="J21" i="57"/>
  <c r="H16" i="57"/>
  <c r="N12" i="57"/>
  <c r="J44" i="57"/>
  <c r="L50" i="57"/>
  <c r="N50" i="57" s="1"/>
  <c r="F46" i="59"/>
  <c r="R16" i="43"/>
  <c r="J15" i="44"/>
  <c r="H18" i="44"/>
  <c r="J25" i="44"/>
  <c r="R27" i="44"/>
  <c r="J29" i="44"/>
  <c r="R31" i="44"/>
  <c r="J33" i="44"/>
  <c r="J25" i="45"/>
  <c r="J29" i="45"/>
  <c r="J37" i="45"/>
  <c r="J41" i="45"/>
  <c r="J49" i="45"/>
  <c r="J57" i="45"/>
  <c r="J65" i="45"/>
  <c r="J79" i="45"/>
  <c r="J89" i="45"/>
  <c r="L12" i="46"/>
  <c r="F15" i="46"/>
  <c r="V15" i="46"/>
  <c r="D18" i="46"/>
  <c r="T18" i="46"/>
  <c r="F25" i="46"/>
  <c r="V25" i="46"/>
  <c r="F29" i="46"/>
  <c r="V29" i="46"/>
  <c r="F33" i="46"/>
  <c r="V33" i="46"/>
  <c r="J16" i="47"/>
  <c r="P17" i="48"/>
  <c r="F19" i="48"/>
  <c r="R19" i="48"/>
  <c r="F20" i="48"/>
  <c r="V20" i="48"/>
  <c r="R21" i="48"/>
  <c r="J24" i="48"/>
  <c r="F25" i="48"/>
  <c r="V28" i="48"/>
  <c r="R29" i="48"/>
  <c r="V32" i="48"/>
  <c r="R33" i="48"/>
  <c r="J36" i="48"/>
  <c r="F37" i="48"/>
  <c r="V40" i="48"/>
  <c r="R41" i="48"/>
  <c r="J42" i="48"/>
  <c r="F45" i="48"/>
  <c r="R46" i="48"/>
  <c r="V48" i="48"/>
  <c r="R49" i="48"/>
  <c r="V52" i="48"/>
  <c r="J56" i="48"/>
  <c r="J60" i="48"/>
  <c r="V64" i="48"/>
  <c r="R65" i="48"/>
  <c r="R72" i="48"/>
  <c r="L12" i="49"/>
  <c r="F15" i="49"/>
  <c r="V15" i="49"/>
  <c r="D18" i="49"/>
  <c r="T18" i="49"/>
  <c r="F25" i="49"/>
  <c r="V25" i="49"/>
  <c r="F29" i="49"/>
  <c r="V29" i="49"/>
  <c r="F33" i="49"/>
  <c r="V33" i="49"/>
  <c r="J16" i="50"/>
  <c r="J20" i="51"/>
  <c r="V24" i="51"/>
  <c r="J28" i="51"/>
  <c r="T31" i="51"/>
  <c r="J34" i="51"/>
  <c r="V36" i="51"/>
  <c r="J40" i="51"/>
  <c r="V44" i="51"/>
  <c r="V48" i="51"/>
  <c r="J52" i="51"/>
  <c r="V60" i="51"/>
  <c r="J62" i="51"/>
  <c r="V68" i="51"/>
  <c r="J70" i="51"/>
  <c r="V72" i="51"/>
  <c r="J15" i="52"/>
  <c r="H18" i="52"/>
  <c r="J25" i="52"/>
  <c r="R27" i="52"/>
  <c r="J29" i="52"/>
  <c r="R31" i="52"/>
  <c r="J33" i="52"/>
  <c r="N12" i="53"/>
  <c r="V18" i="53"/>
  <c r="J22" i="53"/>
  <c r="X29" i="53"/>
  <c r="J34" i="53"/>
  <c r="Z12" i="54"/>
  <c r="T16" i="54"/>
  <c r="V14" i="54"/>
  <c r="V31" i="54"/>
  <c r="T31" i="55"/>
  <c r="L18" i="56"/>
  <c r="N18" i="56" s="1"/>
  <c r="F34" i="56"/>
  <c r="F38" i="56"/>
  <c r="X70" i="56"/>
  <c r="Z70" i="56" s="1"/>
  <c r="J40" i="57"/>
  <c r="D63" i="60"/>
  <c r="L44" i="62"/>
  <c r="N44" i="62" s="1"/>
  <c r="J19" i="55"/>
  <c r="F22" i="55"/>
  <c r="R23" i="55"/>
  <c r="F25" i="55"/>
  <c r="V25" i="55"/>
  <c r="R26" i="55"/>
  <c r="J29" i="55"/>
  <c r="R31" i="55"/>
  <c r="J35" i="55"/>
  <c r="R38" i="55"/>
  <c r="J22" i="56"/>
  <c r="V26" i="56"/>
  <c r="V30" i="56"/>
  <c r="J34" i="56"/>
  <c r="V38" i="56"/>
  <c r="J40" i="56"/>
  <c r="V46" i="56"/>
  <c r="J48" i="56"/>
  <c r="V54" i="56"/>
  <c r="V58" i="56"/>
  <c r="V62" i="56"/>
  <c r="V70" i="56"/>
  <c r="Z19" i="57"/>
  <c r="X19" i="57"/>
  <c r="F42" i="57"/>
  <c r="F46" i="57"/>
  <c r="N48" i="57"/>
  <c r="V55" i="57"/>
  <c r="Z59" i="57"/>
  <c r="L61" i="57"/>
  <c r="V63" i="57"/>
  <c r="V16" i="58"/>
  <c r="V18" i="58"/>
  <c r="R22" i="58"/>
  <c r="V27" i="58"/>
  <c r="R32" i="58"/>
  <c r="V45" i="58"/>
  <c r="R53" i="58"/>
  <c r="V54" i="58"/>
  <c r="R55" i="58"/>
  <c r="V61" i="58"/>
  <c r="R66" i="58"/>
  <c r="V75" i="58"/>
  <c r="X41" i="59"/>
  <c r="N46" i="59"/>
  <c r="X61" i="59"/>
  <c r="J19" i="60"/>
  <c r="R61" i="60"/>
  <c r="J66" i="60"/>
  <c r="V16" i="61"/>
  <c r="V18" i="61"/>
  <c r="V27" i="61"/>
  <c r="V45" i="61"/>
  <c r="V55" i="61"/>
  <c r="F27" i="62"/>
  <c r="V45" i="62"/>
  <c r="F53" i="62"/>
  <c r="F79" i="62"/>
  <c r="V81" i="62"/>
  <c r="V86" i="62"/>
  <c r="N91" i="62"/>
  <c r="F102" i="62"/>
  <c r="V104" i="62"/>
  <c r="V80" i="63"/>
  <c r="V76" i="63"/>
  <c r="V72" i="63"/>
  <c r="V64" i="63"/>
  <c r="V60" i="63"/>
  <c r="V52" i="63"/>
  <c r="V44" i="63"/>
  <c r="V40" i="63"/>
  <c r="V89" i="63"/>
  <c r="V83" i="63"/>
  <c r="V79" i="63"/>
  <c r="V75" i="63"/>
  <c r="V63" i="63"/>
  <c r="V55" i="63"/>
  <c r="V51" i="63"/>
  <c r="V43" i="63"/>
  <c r="V39" i="63"/>
  <c r="V82" i="63"/>
  <c r="V78" i="63"/>
  <c r="V66" i="63"/>
  <c r="V54" i="63"/>
  <c r="V50" i="63"/>
  <c r="V38" i="63"/>
  <c r="V77" i="63"/>
  <c r="V65" i="63"/>
  <c r="V57" i="63"/>
  <c r="V49" i="63"/>
  <c r="V37" i="63"/>
  <c r="V85" i="63"/>
  <c r="V71" i="63"/>
  <c r="V67" i="63"/>
  <c r="V59" i="63"/>
  <c r="V47" i="63"/>
  <c r="V35" i="63"/>
  <c r="V74" i="63"/>
  <c r="V70" i="63"/>
  <c r="V62" i="63"/>
  <c r="V58" i="63"/>
  <c r="V46" i="63"/>
  <c r="V42" i="63"/>
  <c r="V34" i="63"/>
  <c r="V68" i="63"/>
  <c r="V33" i="63"/>
  <c r="V23" i="63"/>
  <c r="V32" i="63"/>
  <c r="V22" i="63"/>
  <c r="V56" i="63"/>
  <c r="V36" i="63"/>
  <c r="V21" i="63"/>
  <c r="V48" i="63"/>
  <c r="V45" i="63"/>
  <c r="V30" i="63"/>
  <c r="V20" i="63"/>
  <c r="V73" i="63"/>
  <c r="V41" i="63"/>
  <c r="V26" i="63"/>
  <c r="V18" i="63"/>
  <c r="V81" i="63"/>
  <c r="V69" i="63"/>
  <c r="V53" i="63"/>
  <c r="V25" i="63"/>
  <c r="V24" i="63"/>
  <c r="V28" i="63"/>
  <c r="N85" i="63"/>
  <c r="L85" i="63"/>
  <c r="R16" i="54"/>
  <c r="R20" i="54"/>
  <c r="R26" i="54"/>
  <c r="R29" i="54"/>
  <c r="V16" i="55"/>
  <c r="J18" i="55"/>
  <c r="V18" i="55"/>
  <c r="J22" i="55"/>
  <c r="V26" i="55"/>
  <c r="R27" i="55"/>
  <c r="D31" i="55"/>
  <c r="R33" i="55"/>
  <c r="V19" i="56"/>
  <c r="J23" i="56"/>
  <c r="V27" i="56"/>
  <c r="J29" i="56"/>
  <c r="V31" i="56"/>
  <c r="J35" i="56"/>
  <c r="V39" i="56"/>
  <c r="J43" i="56"/>
  <c r="V47" i="56"/>
  <c r="J51" i="56"/>
  <c r="V55" i="56"/>
  <c r="V59" i="56"/>
  <c r="J61" i="56"/>
  <c r="J67" i="56"/>
  <c r="V71" i="56"/>
  <c r="V75" i="56"/>
  <c r="V77" i="56"/>
  <c r="V82" i="56"/>
  <c r="R75" i="57"/>
  <c r="R63" i="57"/>
  <c r="R58" i="57"/>
  <c r="R34" i="57"/>
  <c r="R22" i="57"/>
  <c r="R57" i="57"/>
  <c r="R54" i="57"/>
  <c r="R50" i="57"/>
  <c r="R45" i="57"/>
  <c r="R42" i="57"/>
  <c r="R33" i="57"/>
  <c r="R21" i="57"/>
  <c r="R60" i="57"/>
  <c r="R32" i="57"/>
  <c r="R28" i="57"/>
  <c r="R20" i="57"/>
  <c r="R18" i="57"/>
  <c r="P16" i="57"/>
  <c r="R53" i="57"/>
  <c r="R49" i="57"/>
  <c r="R46" i="57"/>
  <c r="R41" i="57"/>
  <c r="R37" i="57"/>
  <c r="R25" i="57"/>
  <c r="R14" i="57"/>
  <c r="N18" i="57"/>
  <c r="V22" i="57"/>
  <c r="R26" i="57"/>
  <c r="R27" i="57"/>
  <c r="V29" i="57"/>
  <c r="R35" i="57"/>
  <c r="F39" i="57"/>
  <c r="F43" i="57"/>
  <c r="R52" i="57"/>
  <c r="R56" i="57"/>
  <c r="F61" i="57"/>
  <c r="R70" i="57"/>
  <c r="L18" i="58"/>
  <c r="V19" i="58"/>
  <c r="V22" i="58"/>
  <c r="V63" i="58"/>
  <c r="V66" i="58"/>
  <c r="Z14" i="59"/>
  <c r="X14" i="59"/>
  <c r="V34" i="59"/>
  <c r="J22" i="60"/>
  <c r="J41" i="60"/>
  <c r="L48" i="60"/>
  <c r="N48" i="60" s="1"/>
  <c r="R49" i="60"/>
  <c r="J50" i="60"/>
  <c r="R51" i="61"/>
  <c r="R44" i="61"/>
  <c r="R39" i="61"/>
  <c r="R31" i="61"/>
  <c r="R27" i="61"/>
  <c r="R50" i="61"/>
  <c r="R47" i="61"/>
  <c r="R38" i="61"/>
  <c r="R30" i="61"/>
  <c r="R26" i="61"/>
  <c r="R19" i="61"/>
  <c r="R59" i="61"/>
  <c r="R53" i="61"/>
  <c r="R41" i="61"/>
  <c r="R37" i="61"/>
  <c r="R25" i="61"/>
  <c r="R14" i="61"/>
  <c r="R64" i="61"/>
  <c r="R57" i="61"/>
  <c r="R49" i="61"/>
  <c r="R36" i="61"/>
  <c r="R29" i="61"/>
  <c r="R24" i="61"/>
  <c r="X12" i="61"/>
  <c r="R45" i="61"/>
  <c r="R42" i="61"/>
  <c r="R33" i="61"/>
  <c r="R21" i="61"/>
  <c r="R16" i="61"/>
  <c r="L18" i="61"/>
  <c r="V19" i="61"/>
  <c r="R22" i="61"/>
  <c r="R23" i="61"/>
  <c r="V33" i="61"/>
  <c r="F21" i="62"/>
  <c r="F30" i="62"/>
  <c r="N31" i="62"/>
  <c r="F41" i="62"/>
  <c r="V56" i="62"/>
  <c r="V58" i="62"/>
  <c r="F61" i="62"/>
  <c r="V64" i="62"/>
  <c r="V66" i="62"/>
  <c r="F73" i="62"/>
  <c r="F89" i="62"/>
  <c r="P98" i="62"/>
  <c r="X98" i="62" s="1"/>
  <c r="Z98" i="62" s="1"/>
  <c r="V19" i="63"/>
  <c r="V27" i="63"/>
  <c r="R48" i="67"/>
  <c r="D16" i="54"/>
  <c r="X12" i="55"/>
  <c r="H16" i="55"/>
  <c r="F20" i="55"/>
  <c r="R21" i="55"/>
  <c r="F23" i="55"/>
  <c r="V23" i="55"/>
  <c r="R24" i="55"/>
  <c r="J25" i="55"/>
  <c r="V27" i="55"/>
  <c r="F31" i="55"/>
  <c r="V31" i="55"/>
  <c r="V33" i="55"/>
  <c r="F38" i="55"/>
  <c r="V38" i="55"/>
  <c r="N12" i="56"/>
  <c r="J14" i="56"/>
  <c r="V20" i="56"/>
  <c r="J24" i="56"/>
  <c r="V28" i="56"/>
  <c r="V32" i="56"/>
  <c r="J36" i="56"/>
  <c r="V44" i="56"/>
  <c r="J46" i="56"/>
  <c r="V52" i="56"/>
  <c r="J54" i="56"/>
  <c r="V56" i="56"/>
  <c r="J58" i="56"/>
  <c r="V60" i="56"/>
  <c r="J64" i="56"/>
  <c r="V68" i="56"/>
  <c r="J70" i="56"/>
  <c r="V57" i="57"/>
  <c r="V45" i="57"/>
  <c r="V33" i="57"/>
  <c r="V21" i="57"/>
  <c r="V72" i="57"/>
  <c r="V66" i="57"/>
  <c r="V60" i="57"/>
  <c r="V56" i="57"/>
  <c r="V44" i="57"/>
  <c r="V32" i="57"/>
  <c r="V28" i="57"/>
  <c r="V20" i="57"/>
  <c r="V59" i="57"/>
  <c r="V47" i="57"/>
  <c r="V39" i="57"/>
  <c r="V31" i="57"/>
  <c r="V27" i="57"/>
  <c r="V19" i="57"/>
  <c r="V75" i="57"/>
  <c r="V70" i="57"/>
  <c r="V68" i="57"/>
  <c r="V64" i="57"/>
  <c r="V52" i="57"/>
  <c r="V48" i="57"/>
  <c r="V40" i="57"/>
  <c r="V36" i="57"/>
  <c r="V24" i="57"/>
  <c r="Z12" i="57"/>
  <c r="X14" i="57"/>
  <c r="V26" i="57"/>
  <c r="F31" i="57"/>
  <c r="F32" i="57"/>
  <c r="V34" i="57"/>
  <c r="V35" i="57"/>
  <c r="N44" i="57"/>
  <c r="V49" i="57"/>
  <c r="R51" i="57"/>
  <c r="F60" i="57"/>
  <c r="F63" i="57"/>
  <c r="R71" i="58"/>
  <c r="R68" i="58"/>
  <c r="R60" i="58"/>
  <c r="R39" i="58"/>
  <c r="R31" i="58"/>
  <c r="R27" i="58"/>
  <c r="R63" i="58"/>
  <c r="R50" i="58"/>
  <c r="R47" i="58"/>
  <c r="R42" i="58"/>
  <c r="R38" i="58"/>
  <c r="R26" i="58"/>
  <c r="R19" i="58"/>
  <c r="R79" i="58"/>
  <c r="R73" i="58"/>
  <c r="R70" i="58"/>
  <c r="R37" i="58"/>
  <c r="R30" i="58"/>
  <c r="R25" i="58"/>
  <c r="R14" i="58"/>
  <c r="R84" i="58"/>
  <c r="R77" i="58"/>
  <c r="R56" i="58"/>
  <c r="R52" i="58"/>
  <c r="R49" i="58"/>
  <c r="R44" i="58"/>
  <c r="R41" i="58"/>
  <c r="R36" i="58"/>
  <c r="R24" i="58"/>
  <c r="X12" i="58"/>
  <c r="R69" i="58"/>
  <c r="R65" i="58"/>
  <c r="R61" i="58"/>
  <c r="R33" i="58"/>
  <c r="R29" i="58"/>
  <c r="R21" i="58"/>
  <c r="R16" i="58"/>
  <c r="V31" i="58"/>
  <c r="X43" i="58"/>
  <c r="Z43" i="58" s="1"/>
  <c r="V53" i="58"/>
  <c r="R59" i="58"/>
  <c r="R72" i="58"/>
  <c r="V57" i="59"/>
  <c r="V53" i="59"/>
  <c r="V49" i="59"/>
  <c r="V33" i="59"/>
  <c r="V29" i="59"/>
  <c r="V21" i="59"/>
  <c r="T16" i="59"/>
  <c r="V72" i="59"/>
  <c r="V66" i="59"/>
  <c r="V60" i="59"/>
  <c r="V56" i="59"/>
  <c r="V48" i="59"/>
  <c r="V40" i="59"/>
  <c r="V32" i="59"/>
  <c r="V28" i="59"/>
  <c r="V20" i="59"/>
  <c r="V59" i="59"/>
  <c r="V39" i="59"/>
  <c r="V31" i="59"/>
  <c r="V27" i="59"/>
  <c r="V19" i="59"/>
  <c r="V62" i="59"/>
  <c r="V58" i="59"/>
  <c r="V42" i="59"/>
  <c r="V38" i="59"/>
  <c r="V30" i="59"/>
  <c r="V26" i="59"/>
  <c r="V14" i="59"/>
  <c r="V63" i="59"/>
  <c r="V55" i="59"/>
  <c r="V51" i="59"/>
  <c r="V47" i="59"/>
  <c r="V43" i="59"/>
  <c r="V35" i="59"/>
  <c r="V23" i="59"/>
  <c r="V25" i="59"/>
  <c r="V41" i="59"/>
  <c r="V45" i="59"/>
  <c r="V54" i="59"/>
  <c r="V61" i="59"/>
  <c r="X18" i="60"/>
  <c r="R33" i="60"/>
  <c r="R34" i="60"/>
  <c r="J40" i="60"/>
  <c r="R42" i="60"/>
  <c r="R51" i="60"/>
  <c r="V50" i="61"/>
  <c r="V38" i="61"/>
  <c r="V30" i="61"/>
  <c r="V26" i="61"/>
  <c r="V14" i="61"/>
  <c r="V64" i="61"/>
  <c r="V59" i="61"/>
  <c r="V57" i="61"/>
  <c r="V53" i="61"/>
  <c r="V49" i="61"/>
  <c r="V41" i="61"/>
  <c r="V37" i="61"/>
  <c r="V29" i="61"/>
  <c r="V25" i="61"/>
  <c r="V52" i="61"/>
  <c r="V40" i="61"/>
  <c r="V36" i="61"/>
  <c r="V24" i="61"/>
  <c r="Z12" i="61"/>
  <c r="V43" i="61"/>
  <c r="V35" i="61"/>
  <c r="V23" i="61"/>
  <c r="V48" i="61"/>
  <c r="V44" i="61"/>
  <c r="V32" i="61"/>
  <c r="V28" i="61"/>
  <c r="V20" i="61"/>
  <c r="V22" i="61"/>
  <c r="R32" i="61"/>
  <c r="V51" i="61"/>
  <c r="R52" i="61"/>
  <c r="V85" i="62"/>
  <c r="V77" i="62"/>
  <c r="V73" i="62"/>
  <c r="V69" i="62"/>
  <c r="V61" i="62"/>
  <c r="V53" i="62"/>
  <c r="V49" i="62"/>
  <c r="V41" i="62"/>
  <c r="V33" i="62"/>
  <c r="V29" i="62"/>
  <c r="V21" i="62"/>
  <c r="V98" i="62"/>
  <c r="V88" i="62"/>
  <c r="V84" i="62"/>
  <c r="V76" i="62"/>
  <c r="V72" i="62"/>
  <c r="V68" i="62"/>
  <c r="V60" i="62"/>
  <c r="V52" i="62"/>
  <c r="V48" i="62"/>
  <c r="V40" i="62"/>
  <c r="V32" i="62"/>
  <c r="V28" i="62"/>
  <c r="V20" i="62"/>
  <c r="V87" i="62"/>
  <c r="V83" i="62"/>
  <c r="V79" i="62"/>
  <c r="V75" i="62"/>
  <c r="V71" i="62"/>
  <c r="V63" i="62"/>
  <c r="V55" i="62"/>
  <c r="V51" i="62"/>
  <c r="V43" i="62"/>
  <c r="V39" i="62"/>
  <c r="V31" i="62"/>
  <c r="V27" i="62"/>
  <c r="V15" i="62"/>
  <c r="V106" i="62"/>
  <c r="V100" i="62"/>
  <c r="V94" i="62"/>
  <c r="V90" i="62"/>
  <c r="V82" i="62"/>
  <c r="V78" i="62"/>
  <c r="V70" i="62"/>
  <c r="V62" i="62"/>
  <c r="V54" i="62"/>
  <c r="V42" i="62"/>
  <c r="V38" i="62"/>
  <c r="V26" i="62"/>
  <c r="V14" i="62"/>
  <c r="V99" i="62"/>
  <c r="V95" i="62"/>
  <c r="V91" i="62"/>
  <c r="V67" i="62"/>
  <c r="V59" i="62"/>
  <c r="V47" i="62"/>
  <c r="V35" i="62"/>
  <c r="V23" i="62"/>
  <c r="V19" i="62"/>
  <c r="V17" i="62"/>
  <c r="Z14" i="62"/>
  <c r="X14" i="62"/>
  <c r="D17" i="62"/>
  <c r="V22" i="62"/>
  <c r="V37" i="62"/>
  <c r="F69" i="62"/>
  <c r="V74" i="62"/>
  <c r="F77" i="62"/>
  <c r="L95" i="62"/>
  <c r="V109" i="62"/>
  <c r="L18" i="63"/>
  <c r="N18" i="63" s="1"/>
  <c r="L72" i="63"/>
  <c r="N72" i="63"/>
  <c r="V28" i="65"/>
  <c r="V69" i="65"/>
  <c r="V70" i="58"/>
  <c r="V50" i="58"/>
  <c r="V42" i="58"/>
  <c r="V38" i="58"/>
  <c r="V30" i="58"/>
  <c r="V26" i="58"/>
  <c r="V14" i="58"/>
  <c r="V84" i="58"/>
  <c r="V79" i="58"/>
  <c r="V77" i="58"/>
  <c r="V73" i="58"/>
  <c r="V49" i="58"/>
  <c r="V41" i="58"/>
  <c r="V37" i="58"/>
  <c r="V25" i="58"/>
  <c r="V72" i="58"/>
  <c r="V56" i="58"/>
  <c r="V52" i="58"/>
  <c r="V44" i="58"/>
  <c r="V36" i="58"/>
  <c r="V24" i="58"/>
  <c r="Z12" i="58"/>
  <c r="V67" i="58"/>
  <c r="V59" i="58"/>
  <c r="V55" i="58"/>
  <c r="V51" i="58"/>
  <c r="V43" i="58"/>
  <c r="V35" i="58"/>
  <c r="V23" i="58"/>
  <c r="V68" i="58"/>
  <c r="V64" i="58"/>
  <c r="V60" i="58"/>
  <c r="V48" i="58"/>
  <c r="V40" i="58"/>
  <c r="V32" i="58"/>
  <c r="V28" i="58"/>
  <c r="V20" i="58"/>
  <c r="N18" i="58"/>
  <c r="N57" i="58"/>
  <c r="L57" i="58"/>
  <c r="Z30" i="59"/>
  <c r="X30" i="59"/>
  <c r="Z18" i="60"/>
  <c r="Z42" i="60"/>
  <c r="X42" i="60"/>
  <c r="T59" i="60"/>
  <c r="D57" i="61"/>
  <c r="N18" i="61"/>
  <c r="N17" i="62"/>
  <c r="H102" i="62"/>
  <c r="N95" i="62"/>
  <c r="X14" i="63"/>
  <c r="Z14" i="63" s="1"/>
  <c r="P12" i="63"/>
  <c r="H87" i="63"/>
  <c r="X12" i="54"/>
  <c r="X16" i="54"/>
  <c r="R19" i="55"/>
  <c r="F21" i="55"/>
  <c r="V21" i="55"/>
  <c r="R22" i="55"/>
  <c r="J23" i="55"/>
  <c r="F26" i="55"/>
  <c r="R29" i="55"/>
  <c r="J31" i="55"/>
  <c r="R35" i="55"/>
  <c r="J38" i="55"/>
  <c r="V16" i="56"/>
  <c r="J18" i="56"/>
  <c r="V18" i="56"/>
  <c r="V22" i="56"/>
  <c r="J26" i="56"/>
  <c r="J30" i="56"/>
  <c r="V34" i="56"/>
  <c r="J38" i="56"/>
  <c r="V42" i="56"/>
  <c r="J44" i="56"/>
  <c r="V50" i="56"/>
  <c r="J52" i="56"/>
  <c r="J62" i="56"/>
  <c r="V66" i="56"/>
  <c r="J68" i="56"/>
  <c r="R38" i="57"/>
  <c r="V41" i="57"/>
  <c r="R43" i="57"/>
  <c r="Z46" i="57"/>
  <c r="V50" i="57"/>
  <c r="R61" i="57"/>
  <c r="R62" i="57"/>
  <c r="L16" i="58"/>
  <c r="D77" i="58"/>
  <c r="V21" i="58"/>
  <c r="V29" i="58"/>
  <c r="V34" i="58"/>
  <c r="L45" i="58"/>
  <c r="N45" i="58" s="1"/>
  <c r="R46" i="58"/>
  <c r="R48" i="58"/>
  <c r="X51" i="58"/>
  <c r="Z51" i="58" s="1"/>
  <c r="V58" i="58"/>
  <c r="V65" i="58"/>
  <c r="N68" i="58"/>
  <c r="N75" i="58"/>
  <c r="L75" i="58"/>
  <c r="N43" i="59"/>
  <c r="Z53" i="59"/>
  <c r="J63" i="60"/>
  <c r="J57" i="60"/>
  <c r="J53" i="60"/>
  <c r="J49" i="60"/>
  <c r="J45" i="60"/>
  <c r="J33" i="60"/>
  <c r="J21" i="60"/>
  <c r="J52" i="60"/>
  <c r="J42" i="60"/>
  <c r="J32" i="60"/>
  <c r="J28" i="60"/>
  <c r="J20" i="60"/>
  <c r="J16" i="60"/>
  <c r="J61" i="60"/>
  <c r="J55" i="60"/>
  <c r="J51" i="60"/>
  <c r="J39" i="60"/>
  <c r="J31" i="60"/>
  <c r="J27" i="60"/>
  <c r="H16" i="60"/>
  <c r="L16" i="60" s="1"/>
  <c r="J48" i="60"/>
  <c r="J44" i="60"/>
  <c r="J38" i="60"/>
  <c r="J30" i="60"/>
  <c r="J26" i="60"/>
  <c r="J18" i="60"/>
  <c r="J47" i="60"/>
  <c r="J43" i="60"/>
  <c r="J35" i="60"/>
  <c r="J29" i="60"/>
  <c r="J23" i="60"/>
  <c r="J14" i="60"/>
  <c r="R21" i="60"/>
  <c r="R22" i="60"/>
  <c r="R27" i="60"/>
  <c r="J37" i="60"/>
  <c r="R39" i="60"/>
  <c r="N54" i="60"/>
  <c r="N19" i="61"/>
  <c r="V31" i="61"/>
  <c r="X42" i="61"/>
  <c r="Z42" i="61" s="1"/>
  <c r="N55" i="61"/>
  <c r="L55" i="61"/>
  <c r="F15" i="62"/>
  <c r="V30" i="62"/>
  <c r="F34" i="62"/>
  <c r="F49" i="62"/>
  <c r="X54" i="62"/>
  <c r="Z54" i="62" s="1"/>
  <c r="F56" i="62"/>
  <c r="N58" i="62"/>
  <c r="X62" i="62"/>
  <c r="Z62" i="62" s="1"/>
  <c r="F64" i="62"/>
  <c r="X89" i="62"/>
  <c r="Z89" i="62" s="1"/>
  <c r="X91" i="62"/>
  <c r="Z91" i="62" s="1"/>
  <c r="V96" i="62"/>
  <c r="T30" i="63"/>
  <c r="V77" i="65"/>
  <c r="R108" i="67"/>
  <c r="R84" i="67"/>
  <c r="R81" i="67"/>
  <c r="R104" i="67"/>
  <c r="R110" i="67"/>
  <c r="R98" i="67"/>
  <c r="R94" i="67"/>
  <c r="R90" i="67"/>
  <c r="R86" i="67"/>
  <c r="R83" i="67"/>
  <c r="R78" i="67"/>
  <c r="R115" i="67"/>
  <c r="R101" i="67"/>
  <c r="R97" i="67"/>
  <c r="R93" i="67"/>
  <c r="R89" i="67"/>
  <c r="R109" i="67"/>
  <c r="R103" i="67"/>
  <c r="R100" i="67"/>
  <c r="R92" i="67"/>
  <c r="R88" i="67"/>
  <c r="R95" i="67"/>
  <c r="R82" i="67"/>
  <c r="R111" i="67"/>
  <c r="R75" i="67"/>
  <c r="R72" i="67"/>
  <c r="R67" i="67"/>
  <c r="R64" i="67"/>
  <c r="R59" i="67"/>
  <c r="R47" i="67"/>
  <c r="R35" i="67"/>
  <c r="R27" i="67"/>
  <c r="R105" i="67"/>
  <c r="R58" i="67"/>
  <c r="R46" i="67"/>
  <c r="R34" i="67"/>
  <c r="R26" i="67"/>
  <c r="R19" i="67"/>
  <c r="R85" i="67"/>
  <c r="R74" i="67"/>
  <c r="R69" i="67"/>
  <c r="R66" i="67"/>
  <c r="R57" i="67"/>
  <c r="R45" i="67"/>
  <c r="R40" i="67"/>
  <c r="R33" i="67"/>
  <c r="R25" i="67"/>
  <c r="R107" i="67"/>
  <c r="R99" i="67"/>
  <c r="R80" i="67"/>
  <c r="R79" i="67"/>
  <c r="R77" i="67"/>
  <c r="R56" i="67"/>
  <c r="R52" i="67"/>
  <c r="R44" i="67"/>
  <c r="R42" i="67"/>
  <c r="P40" i="67"/>
  <c r="R32" i="67"/>
  <c r="R24" i="67"/>
  <c r="R87" i="67"/>
  <c r="R62" i="67"/>
  <c r="R54" i="67"/>
  <c r="R50" i="67"/>
  <c r="R43" i="67"/>
  <c r="R38" i="67"/>
  <c r="R30" i="67"/>
  <c r="R22" i="67"/>
  <c r="X12" i="67"/>
  <c r="Z12" i="67" s="1"/>
  <c r="R73" i="67"/>
  <c r="R70" i="67"/>
  <c r="R65" i="67"/>
  <c r="R61" i="67"/>
  <c r="R49" i="67"/>
  <c r="R37" i="67"/>
  <c r="R29" i="67"/>
  <c r="R21" i="67"/>
  <c r="R102" i="67"/>
  <c r="R55" i="67"/>
  <c r="R51" i="67"/>
  <c r="R20" i="67"/>
  <c r="R76" i="67"/>
  <c r="R68" i="67"/>
  <c r="R63" i="67"/>
  <c r="R31" i="67"/>
  <c r="R96" i="67"/>
  <c r="R23" i="67"/>
  <c r="R28" i="67"/>
  <c r="V22" i="55"/>
  <c r="J26" i="55"/>
  <c r="F27" i="55"/>
  <c r="F33" i="55"/>
  <c r="H16" i="56"/>
  <c r="V23" i="56"/>
  <c r="J27" i="56"/>
  <c r="J31" i="56"/>
  <c r="V35" i="56"/>
  <c r="J39" i="56"/>
  <c r="V43" i="56"/>
  <c r="J47" i="56"/>
  <c r="V51" i="56"/>
  <c r="J55" i="56"/>
  <c r="J59" i="56"/>
  <c r="V63" i="56"/>
  <c r="V67" i="56"/>
  <c r="J71" i="56"/>
  <c r="V73" i="56"/>
  <c r="J77" i="56"/>
  <c r="V79" i="56"/>
  <c r="R24" i="57"/>
  <c r="N29" i="57"/>
  <c r="V38" i="57"/>
  <c r="R39" i="57"/>
  <c r="R40" i="57"/>
  <c r="V43" i="57"/>
  <c r="V46" i="57"/>
  <c r="Z61" i="57"/>
  <c r="V62" i="57"/>
  <c r="R64" i="57"/>
  <c r="R66" i="57"/>
  <c r="X18" i="58"/>
  <c r="Z18" i="58" s="1"/>
  <c r="V39" i="58"/>
  <c r="V46" i="58"/>
  <c r="R57" i="58"/>
  <c r="R62" i="58"/>
  <c r="V69" i="58"/>
  <c r="V36" i="59"/>
  <c r="V37" i="59"/>
  <c r="V44" i="59"/>
  <c r="V46" i="59"/>
  <c r="V64" i="59"/>
  <c r="V70" i="59"/>
  <c r="L44" i="60"/>
  <c r="N44" i="60" s="1"/>
  <c r="R53" i="60"/>
  <c r="J54" i="60"/>
  <c r="R57" i="60"/>
  <c r="X18" i="61"/>
  <c r="Z18" i="61" s="1"/>
  <c r="R61" i="61"/>
  <c r="V25" i="62"/>
  <c r="F33" i="62"/>
  <c r="F39" i="62"/>
  <c r="Z42" i="62"/>
  <c r="X42" i="62"/>
  <c r="F46" i="62"/>
  <c r="L56" i="62"/>
  <c r="N56" i="62" s="1"/>
  <c r="N64" i="62"/>
  <c r="L64" i="62"/>
  <c r="X70" i="62"/>
  <c r="Z70" i="62" s="1"/>
  <c r="F86" i="62"/>
  <c r="N87" i="62"/>
  <c r="L99" i="62"/>
  <c r="N99" i="62" s="1"/>
  <c r="D98" i="62"/>
  <c r="L98" i="62" s="1"/>
  <c r="N98" i="62" s="1"/>
  <c r="Z18" i="63"/>
  <c r="L32" i="63"/>
  <c r="N32" i="63" s="1"/>
  <c r="V61" i="63"/>
  <c r="V80" i="65"/>
  <c r="V76" i="65"/>
  <c r="V72" i="65"/>
  <c r="V60" i="65"/>
  <c r="V48" i="65"/>
  <c r="V44" i="65"/>
  <c r="V36" i="65"/>
  <c r="T31" i="65"/>
  <c r="V24" i="65"/>
  <c r="V89" i="65"/>
  <c r="V83" i="65"/>
  <c r="V79" i="65"/>
  <c r="V75" i="65"/>
  <c r="V71" i="65"/>
  <c r="V63" i="65"/>
  <c r="V55" i="65"/>
  <c r="V47" i="65"/>
  <c r="V43" i="65"/>
  <c r="V35" i="65"/>
  <c r="V23" i="65"/>
  <c r="V82" i="65"/>
  <c r="V78" i="65"/>
  <c r="V66" i="65"/>
  <c r="V62" i="65"/>
  <c r="V54" i="65"/>
  <c r="V46" i="65"/>
  <c r="V42" i="65"/>
  <c r="V34" i="65"/>
  <c r="V22" i="65"/>
  <c r="V91" i="65"/>
  <c r="V85" i="65"/>
  <c r="V81" i="65"/>
  <c r="V65" i="65"/>
  <c r="V57" i="65"/>
  <c r="V53" i="65"/>
  <c r="V45" i="65"/>
  <c r="V41" i="65"/>
  <c r="V29" i="65"/>
  <c r="V21" i="65"/>
  <c r="V67" i="65"/>
  <c r="V59" i="65"/>
  <c r="V51" i="65"/>
  <c r="V39" i="65"/>
  <c r="V27" i="65"/>
  <c r="V19" i="65"/>
  <c r="V90" i="65"/>
  <c r="V74" i="65"/>
  <c r="V70" i="65"/>
  <c r="V58" i="65"/>
  <c r="V50" i="65"/>
  <c r="V38" i="65"/>
  <c r="V26" i="65"/>
  <c r="V88" i="65"/>
  <c r="V68" i="65"/>
  <c r="V56" i="65"/>
  <c r="V37" i="65"/>
  <c r="V49" i="65"/>
  <c r="V95" i="65"/>
  <c r="V61" i="65"/>
  <c r="V52" i="65"/>
  <c r="V40" i="65"/>
  <c r="V20" i="65"/>
  <c r="V87" i="65"/>
  <c r="V25" i="65"/>
  <c r="V73" i="65"/>
  <c r="V64" i="65"/>
  <c r="V33" i="65"/>
  <c r="D12" i="65"/>
  <c r="L17" i="65"/>
  <c r="R91" i="67"/>
  <c r="L12" i="55"/>
  <c r="P16" i="55"/>
  <c r="F18" i="55"/>
  <c r="R18" i="55"/>
  <c r="F19" i="55"/>
  <c r="V19" i="55"/>
  <c r="R20" i="55"/>
  <c r="J21" i="55"/>
  <c r="F24" i="55"/>
  <c r="J27" i="55"/>
  <c r="F29" i="55"/>
  <c r="V29" i="55"/>
  <c r="J16" i="56"/>
  <c r="J20" i="56"/>
  <c r="V24" i="56"/>
  <c r="J28" i="56"/>
  <c r="J32" i="56"/>
  <c r="V36" i="56"/>
  <c r="V40" i="56"/>
  <c r="J42" i="56"/>
  <c r="V48" i="56"/>
  <c r="J50" i="56"/>
  <c r="J56" i="56"/>
  <c r="J60" i="56"/>
  <c r="F62" i="57"/>
  <c r="F38" i="57"/>
  <c r="F30" i="57"/>
  <c r="F26" i="57"/>
  <c r="F72" i="57"/>
  <c r="F66" i="57"/>
  <c r="F56" i="57"/>
  <c r="F53" i="57"/>
  <c r="F49" i="57"/>
  <c r="F44" i="57"/>
  <c r="F41" i="57"/>
  <c r="F37" i="57"/>
  <c r="F25" i="57"/>
  <c r="F70" i="57"/>
  <c r="F64" i="57"/>
  <c r="F59" i="57"/>
  <c r="F52" i="57"/>
  <c r="F36" i="57"/>
  <c r="F24" i="57"/>
  <c r="F19" i="57"/>
  <c r="F18" i="57"/>
  <c r="L12" i="57"/>
  <c r="F75" i="57"/>
  <c r="F68" i="57"/>
  <c r="F57" i="57"/>
  <c r="F48" i="57"/>
  <c r="F45" i="57"/>
  <c r="F40" i="57"/>
  <c r="F33" i="57"/>
  <c r="F21" i="57"/>
  <c r="D16" i="57"/>
  <c r="Z18" i="57"/>
  <c r="R23" i="57"/>
  <c r="R30" i="57"/>
  <c r="R31" i="57"/>
  <c r="F34" i="57"/>
  <c r="F35" i="57"/>
  <c r="V37" i="57"/>
  <c r="V42" i="57"/>
  <c r="R44" i="57"/>
  <c r="F50" i="57"/>
  <c r="V61" i="57"/>
  <c r="X63" i="57"/>
  <c r="R72" i="57"/>
  <c r="P16" i="58"/>
  <c r="R18" i="58"/>
  <c r="R20" i="58"/>
  <c r="R28" i="58"/>
  <c r="V33" i="58"/>
  <c r="R45" i="58"/>
  <c r="L53" i="58"/>
  <c r="N53" i="58" s="1"/>
  <c r="L60" i="58"/>
  <c r="V62" i="58"/>
  <c r="R64" i="58"/>
  <c r="R75" i="58"/>
  <c r="R81" i="58"/>
  <c r="R66" i="60"/>
  <c r="R59" i="60"/>
  <c r="R38" i="60"/>
  <c r="R30" i="60"/>
  <c r="R26" i="60"/>
  <c r="R19" i="60"/>
  <c r="R54" i="60"/>
  <c r="R50" i="60"/>
  <c r="R41" i="60"/>
  <c r="R37" i="60"/>
  <c r="R25" i="60"/>
  <c r="R14" i="60"/>
  <c r="R36" i="60"/>
  <c r="R29" i="60"/>
  <c r="R24" i="60"/>
  <c r="X12" i="60"/>
  <c r="R47" i="60"/>
  <c r="R43" i="60"/>
  <c r="R40" i="60"/>
  <c r="R35" i="60"/>
  <c r="R23" i="60"/>
  <c r="R52" i="60"/>
  <c r="R32" i="60"/>
  <c r="R28" i="60"/>
  <c r="R20" i="60"/>
  <c r="R18" i="60"/>
  <c r="P16" i="60"/>
  <c r="L19" i="60"/>
  <c r="N19" i="60" s="1"/>
  <c r="J24" i="60"/>
  <c r="R45" i="60"/>
  <c r="R46" i="60"/>
  <c r="R55" i="60"/>
  <c r="P16" i="61"/>
  <c r="R18" i="61"/>
  <c r="R20" i="61"/>
  <c r="R28" i="61"/>
  <c r="R34" i="61"/>
  <c r="R35" i="61"/>
  <c r="V42" i="61"/>
  <c r="L44" i="61"/>
  <c r="N44" i="61" s="1"/>
  <c r="V46" i="61"/>
  <c r="R48" i="61"/>
  <c r="R55" i="61"/>
  <c r="V61" i="61"/>
  <c r="F94" i="62"/>
  <c r="F90" i="62"/>
  <c r="F82" i="62"/>
  <c r="F38" i="62"/>
  <c r="F26" i="62"/>
  <c r="F100" i="62"/>
  <c r="F98" i="62"/>
  <c r="F93" i="62"/>
  <c r="F81" i="62"/>
  <c r="F68" i="62"/>
  <c r="F65" i="62"/>
  <c r="F60" i="62"/>
  <c r="F57" i="62"/>
  <c r="F48" i="62"/>
  <c r="F45" i="62"/>
  <c r="F37" i="62"/>
  <c r="F25" i="62"/>
  <c r="F20" i="62"/>
  <c r="F19" i="62"/>
  <c r="F96" i="62"/>
  <c r="F92" i="62"/>
  <c r="F87" i="62"/>
  <c r="F75" i="62"/>
  <c r="F51" i="62"/>
  <c r="F36" i="62"/>
  <c r="F31" i="62"/>
  <c r="F24" i="62"/>
  <c r="L12" i="62"/>
  <c r="F106" i="62"/>
  <c r="F78" i="62"/>
  <c r="F70" i="62"/>
  <c r="F67" i="62"/>
  <c r="F62" i="62"/>
  <c r="F59" i="62"/>
  <c r="F54" i="62"/>
  <c r="F47" i="62"/>
  <c r="F42" i="62"/>
  <c r="F35" i="62"/>
  <c r="F23" i="62"/>
  <c r="F14" i="62"/>
  <c r="F95" i="62"/>
  <c r="F91" i="62"/>
  <c r="F88" i="62"/>
  <c r="F84" i="62"/>
  <c r="F76" i="62"/>
  <c r="F72" i="62"/>
  <c r="F52" i="62"/>
  <c r="F40" i="62"/>
  <c r="F32" i="62"/>
  <c r="F28" i="62"/>
  <c r="F17" i="62"/>
  <c r="F44" i="62"/>
  <c r="N46" i="62"/>
  <c r="V50" i="62"/>
  <c r="F55" i="62"/>
  <c r="V57" i="62"/>
  <c r="F63" i="62"/>
  <c r="V65" i="62"/>
  <c r="X78" i="62"/>
  <c r="Z78" i="62" s="1"/>
  <c r="F80" i="62"/>
  <c r="F85" i="62"/>
  <c r="V89" i="62"/>
  <c r="F99" i="62"/>
  <c r="L67" i="63"/>
  <c r="N67" i="63" s="1"/>
  <c r="X22" i="64"/>
  <c r="P59" i="64"/>
  <c r="R71" i="67"/>
  <c r="N12" i="58"/>
  <c r="J14" i="58"/>
  <c r="J24" i="58"/>
  <c r="F25" i="58"/>
  <c r="J30" i="58"/>
  <c r="J36" i="58"/>
  <c r="F37" i="58"/>
  <c r="J44" i="58"/>
  <c r="J52" i="58"/>
  <c r="J56" i="58"/>
  <c r="F60" i="58"/>
  <c r="F68" i="58"/>
  <c r="J70" i="58"/>
  <c r="F73" i="58"/>
  <c r="F79" i="58"/>
  <c r="X12" i="59"/>
  <c r="H16" i="59"/>
  <c r="R24" i="59"/>
  <c r="J27" i="59"/>
  <c r="J31" i="59"/>
  <c r="R36" i="59"/>
  <c r="J39" i="59"/>
  <c r="R41" i="59"/>
  <c r="R44" i="59"/>
  <c r="R52" i="59"/>
  <c r="J53" i="59"/>
  <c r="J59" i="59"/>
  <c r="R61" i="59"/>
  <c r="R64" i="59"/>
  <c r="R70" i="59"/>
  <c r="L12" i="60"/>
  <c r="F18" i="60"/>
  <c r="F19" i="60"/>
  <c r="V19" i="60"/>
  <c r="F24" i="60"/>
  <c r="V27" i="60"/>
  <c r="V31" i="60"/>
  <c r="F36" i="60"/>
  <c r="V39" i="60"/>
  <c r="V51" i="60"/>
  <c r="V55" i="60"/>
  <c r="F59" i="60"/>
  <c r="V59" i="60"/>
  <c r="V61" i="60"/>
  <c r="F66" i="60"/>
  <c r="V66" i="60"/>
  <c r="N12" i="61"/>
  <c r="J14" i="61"/>
  <c r="J24" i="61"/>
  <c r="F25" i="61"/>
  <c r="J36" i="61"/>
  <c r="F37" i="61"/>
  <c r="F41" i="61"/>
  <c r="F44" i="61"/>
  <c r="F53" i="61"/>
  <c r="F59" i="61"/>
  <c r="X12" i="62"/>
  <c r="J19" i="62"/>
  <c r="R24" i="62"/>
  <c r="J27" i="62"/>
  <c r="R36" i="62"/>
  <c r="J39" i="62"/>
  <c r="J43" i="62"/>
  <c r="J55" i="62"/>
  <c r="J63" i="62"/>
  <c r="J71" i="62"/>
  <c r="J79" i="62"/>
  <c r="J83" i="62"/>
  <c r="R89" i="62"/>
  <c r="R92" i="62"/>
  <c r="R96" i="62"/>
  <c r="J21" i="63"/>
  <c r="J32" i="63"/>
  <c r="J37" i="63"/>
  <c r="X39" i="64"/>
  <c r="X58" i="65"/>
  <c r="Z87" i="65"/>
  <c r="X43" i="67"/>
  <c r="Z43" i="67" s="1"/>
  <c r="N53" i="67"/>
  <c r="N64" i="67"/>
  <c r="Z64" i="69"/>
  <c r="J22" i="63"/>
  <c r="J40" i="63"/>
  <c r="Z54" i="63"/>
  <c r="N56" i="63"/>
  <c r="J80" i="63"/>
  <c r="L28" i="64"/>
  <c r="X31" i="64"/>
  <c r="L41" i="64"/>
  <c r="N33" i="65"/>
  <c r="L60" i="65"/>
  <c r="N60" i="65" s="1"/>
  <c r="H117" i="67"/>
  <c r="Z42" i="67"/>
  <c r="X72" i="67"/>
  <c r="Z72" i="67" s="1"/>
  <c r="L74" i="67"/>
  <c r="H16" i="58"/>
  <c r="F20" i="58"/>
  <c r="J27" i="58"/>
  <c r="F28" i="58"/>
  <c r="J31" i="58"/>
  <c r="F32" i="58"/>
  <c r="J39" i="58"/>
  <c r="F40" i="58"/>
  <c r="F43" i="58"/>
  <c r="J45" i="58"/>
  <c r="F48" i="58"/>
  <c r="F51" i="58"/>
  <c r="J53" i="58"/>
  <c r="J57" i="58"/>
  <c r="F64" i="58"/>
  <c r="J71" i="58"/>
  <c r="J75" i="58"/>
  <c r="J81" i="58"/>
  <c r="J22" i="59"/>
  <c r="R27" i="59"/>
  <c r="R31" i="59"/>
  <c r="J34" i="59"/>
  <c r="R39" i="59"/>
  <c r="R48" i="59"/>
  <c r="J50" i="59"/>
  <c r="J54" i="59"/>
  <c r="R56" i="59"/>
  <c r="R59" i="59"/>
  <c r="R66" i="59"/>
  <c r="J68" i="59"/>
  <c r="R72" i="59"/>
  <c r="J75" i="59"/>
  <c r="F16" i="60"/>
  <c r="V16" i="60"/>
  <c r="V18" i="60"/>
  <c r="V22" i="60"/>
  <c r="F27" i="60"/>
  <c r="F31" i="60"/>
  <c r="V34" i="60"/>
  <c r="F39" i="60"/>
  <c r="F42" i="60"/>
  <c r="V42" i="60"/>
  <c r="V46" i="60"/>
  <c r="F51" i="60"/>
  <c r="F55" i="60"/>
  <c r="F61" i="60"/>
  <c r="H16" i="61"/>
  <c r="F20" i="61"/>
  <c r="J27" i="61"/>
  <c r="F28" i="61"/>
  <c r="J31" i="61"/>
  <c r="F32" i="61"/>
  <c r="J39" i="61"/>
  <c r="F48" i="61"/>
  <c r="J51" i="61"/>
  <c r="J55" i="61"/>
  <c r="J61" i="61"/>
  <c r="R15" i="62"/>
  <c r="R20" i="62"/>
  <c r="J22" i="62"/>
  <c r="R27" i="62"/>
  <c r="J30" i="62"/>
  <c r="J34" i="62"/>
  <c r="R39" i="62"/>
  <c r="R43" i="62"/>
  <c r="J44" i="62"/>
  <c r="R48" i="62"/>
  <c r="J50" i="62"/>
  <c r="R55" i="62"/>
  <c r="J56" i="62"/>
  <c r="R60" i="62"/>
  <c r="R63" i="62"/>
  <c r="J64" i="62"/>
  <c r="R68" i="62"/>
  <c r="R71" i="62"/>
  <c r="J74" i="62"/>
  <c r="R79" i="62"/>
  <c r="J80" i="62"/>
  <c r="R83" i="62"/>
  <c r="J86" i="62"/>
  <c r="R98" i="62"/>
  <c r="J99" i="62"/>
  <c r="J104" i="62"/>
  <c r="J18" i="63"/>
  <c r="J24" i="63"/>
  <c r="Z56" i="63"/>
  <c r="J76" i="63"/>
  <c r="Z37" i="64"/>
  <c r="L19" i="65"/>
  <c r="N34" i="65"/>
  <c r="N69" i="65"/>
  <c r="N78" i="65"/>
  <c r="Z53" i="67"/>
  <c r="J19" i="68"/>
  <c r="J16" i="58"/>
  <c r="J20" i="58"/>
  <c r="F21" i="58"/>
  <c r="J28" i="58"/>
  <c r="F29" i="58"/>
  <c r="J32" i="58"/>
  <c r="F33" i="58"/>
  <c r="J40" i="58"/>
  <c r="J48" i="58"/>
  <c r="F61" i="58"/>
  <c r="J64" i="58"/>
  <c r="F65" i="58"/>
  <c r="F69" i="58"/>
  <c r="F72" i="58"/>
  <c r="P16" i="59"/>
  <c r="R18" i="59"/>
  <c r="R20" i="59"/>
  <c r="J23" i="59"/>
  <c r="R28" i="59"/>
  <c r="R32" i="59"/>
  <c r="J35" i="59"/>
  <c r="R40" i="59"/>
  <c r="J41" i="59"/>
  <c r="J47" i="59"/>
  <c r="J51" i="59"/>
  <c r="R53" i="59"/>
  <c r="J55" i="59"/>
  <c r="R60" i="59"/>
  <c r="J61" i="59"/>
  <c r="F20" i="60"/>
  <c r="F28" i="60"/>
  <c r="F32" i="60"/>
  <c r="V43" i="60"/>
  <c r="V47" i="60"/>
  <c r="F52" i="60"/>
  <c r="F57" i="60"/>
  <c r="V57" i="60"/>
  <c r="F63" i="60"/>
  <c r="V63" i="60"/>
  <c r="J20" i="61"/>
  <c r="J28" i="61"/>
  <c r="J32" i="61"/>
  <c r="J42" i="61"/>
  <c r="F45" i="61"/>
  <c r="J48" i="61"/>
  <c r="F52" i="61"/>
  <c r="J23" i="62"/>
  <c r="R28" i="62"/>
  <c r="R32" i="62"/>
  <c r="J35" i="62"/>
  <c r="R40" i="62"/>
  <c r="J47" i="62"/>
  <c r="R52" i="62"/>
  <c r="J59" i="62"/>
  <c r="J67" i="62"/>
  <c r="R72" i="62"/>
  <c r="R76" i="62"/>
  <c r="R84" i="62"/>
  <c r="R88" i="62"/>
  <c r="J89" i="62"/>
  <c r="D12" i="63"/>
  <c r="J25" i="63"/>
  <c r="Z32" i="63"/>
  <c r="X77" i="63"/>
  <c r="N19" i="65"/>
  <c r="J68" i="68"/>
  <c r="J62" i="68"/>
  <c r="J58" i="68"/>
  <c r="J52" i="68"/>
  <c r="J40" i="68"/>
  <c r="J28" i="68"/>
  <c r="J76" i="68"/>
  <c r="J67" i="68"/>
  <c r="J55" i="68"/>
  <c r="J49" i="68"/>
  <c r="J39" i="68"/>
  <c r="J35" i="68"/>
  <c r="J27" i="68"/>
  <c r="J72" i="68"/>
  <c r="J64" i="68"/>
  <c r="J54" i="68"/>
  <c r="J46" i="68"/>
  <c r="J38" i="68"/>
  <c r="J34" i="68"/>
  <c r="H23" i="68"/>
  <c r="J61" i="68"/>
  <c r="J57" i="68"/>
  <c r="J51" i="68"/>
  <c r="J45" i="68"/>
  <c r="J37" i="68"/>
  <c r="J33" i="68"/>
  <c r="J25" i="68"/>
  <c r="J21" i="68"/>
  <c r="J75" i="68"/>
  <c r="J71" i="68"/>
  <c r="J63" i="68"/>
  <c r="J59" i="68"/>
  <c r="J53" i="68"/>
  <c r="J43" i="68"/>
  <c r="J31" i="68"/>
  <c r="J70" i="68"/>
  <c r="J56" i="68"/>
  <c r="J50" i="68"/>
  <c r="J42" i="68"/>
  <c r="J36" i="68"/>
  <c r="J30" i="68"/>
  <c r="J66" i="68"/>
  <c r="J60" i="68"/>
  <c r="J20" i="68"/>
  <c r="J73" i="68"/>
  <c r="J69" i="68"/>
  <c r="J65" i="68"/>
  <c r="J41" i="68"/>
  <c r="J26" i="68"/>
  <c r="J80" i="68"/>
  <c r="J47" i="68"/>
  <c r="J32" i="68"/>
  <c r="J29" i="68"/>
  <c r="J48" i="68"/>
  <c r="R79" i="69"/>
  <c r="R67" i="69"/>
  <c r="R64" i="69"/>
  <c r="R59" i="69"/>
  <c r="R56" i="69"/>
  <c r="R51" i="69"/>
  <c r="R39" i="69"/>
  <c r="R27" i="69"/>
  <c r="R50" i="69"/>
  <c r="R38" i="69"/>
  <c r="R26" i="69"/>
  <c r="R19" i="69"/>
  <c r="R69" i="69"/>
  <c r="R66" i="69"/>
  <c r="R61" i="69"/>
  <c r="R58" i="69"/>
  <c r="R49" i="69"/>
  <c r="R37" i="69"/>
  <c r="R25" i="69"/>
  <c r="R78" i="69"/>
  <c r="R72" i="69"/>
  <c r="R48" i="69"/>
  <c r="R44" i="69"/>
  <c r="R36" i="69"/>
  <c r="R31" i="69"/>
  <c r="R24" i="69"/>
  <c r="R74" i="69"/>
  <c r="R54" i="69"/>
  <c r="R46" i="69"/>
  <c r="R42" i="69"/>
  <c r="R22" i="69"/>
  <c r="X12" i="69"/>
  <c r="Z12" i="69" s="1"/>
  <c r="R77" i="69"/>
  <c r="R70" i="69"/>
  <c r="R65" i="69"/>
  <c r="R62" i="69"/>
  <c r="R57" i="69"/>
  <c r="R53" i="69"/>
  <c r="R41" i="69"/>
  <c r="R34" i="69"/>
  <c r="R29" i="69"/>
  <c r="R21" i="69"/>
  <c r="P31" i="69"/>
  <c r="R20" i="69"/>
  <c r="R71" i="69"/>
  <c r="R60" i="69"/>
  <c r="R47" i="69"/>
  <c r="R55" i="69"/>
  <c r="R43" i="69"/>
  <c r="R83" i="69"/>
  <c r="R52" i="69"/>
  <c r="R40" i="69"/>
  <c r="R28" i="69"/>
  <c r="R73" i="69"/>
  <c r="R68" i="69"/>
  <c r="R63" i="69"/>
  <c r="R45" i="69"/>
  <c r="R35" i="69"/>
  <c r="R23" i="69"/>
  <c r="J21" i="58"/>
  <c r="F22" i="58"/>
  <c r="J29" i="58"/>
  <c r="J33" i="58"/>
  <c r="F34" i="58"/>
  <c r="F41" i="58"/>
  <c r="J43" i="58"/>
  <c r="F46" i="58"/>
  <c r="F49" i="58"/>
  <c r="J51" i="58"/>
  <c r="F54" i="58"/>
  <c r="F58" i="58"/>
  <c r="J61" i="58"/>
  <c r="F62" i="58"/>
  <c r="J65" i="58"/>
  <c r="F66" i="58"/>
  <c r="J69" i="58"/>
  <c r="F77" i="58"/>
  <c r="F84" i="58"/>
  <c r="N12" i="59"/>
  <c r="J14" i="59"/>
  <c r="R16" i="59"/>
  <c r="R21" i="59"/>
  <c r="J24" i="59"/>
  <c r="R29" i="59"/>
  <c r="J30" i="59"/>
  <c r="R33" i="59"/>
  <c r="J36" i="59"/>
  <c r="J44" i="59"/>
  <c r="R46" i="59"/>
  <c r="R49" i="59"/>
  <c r="J52" i="59"/>
  <c r="R57" i="59"/>
  <c r="J58" i="59"/>
  <c r="J64" i="59"/>
  <c r="J70" i="59"/>
  <c r="F21" i="60"/>
  <c r="V24" i="60"/>
  <c r="F33" i="60"/>
  <c r="V36" i="60"/>
  <c r="F40" i="60"/>
  <c r="V40" i="60"/>
  <c r="F45" i="60"/>
  <c r="F49" i="60"/>
  <c r="F53" i="60"/>
  <c r="J21" i="61"/>
  <c r="F22" i="61"/>
  <c r="F29" i="61"/>
  <c r="J33" i="61"/>
  <c r="F34" i="61"/>
  <c r="J45" i="61"/>
  <c r="F46" i="61"/>
  <c r="F49" i="61"/>
  <c r="F57" i="61"/>
  <c r="F64" i="61"/>
  <c r="P17" i="62"/>
  <c r="R19" i="62"/>
  <c r="R21" i="62"/>
  <c r="R29" i="62"/>
  <c r="R33" i="62"/>
  <c r="J36" i="62"/>
  <c r="R41" i="62"/>
  <c r="J42" i="62"/>
  <c r="R46" i="62"/>
  <c r="R49" i="62"/>
  <c r="R53" i="62"/>
  <c r="J54" i="62"/>
  <c r="R58" i="62"/>
  <c r="R61" i="62"/>
  <c r="J62" i="62"/>
  <c r="R66" i="62"/>
  <c r="R69" i="62"/>
  <c r="J70" i="62"/>
  <c r="R73" i="62"/>
  <c r="R77" i="62"/>
  <c r="J78" i="62"/>
  <c r="R85" i="62"/>
  <c r="J92" i="62"/>
  <c r="J96" i="62"/>
  <c r="R102" i="62"/>
  <c r="J106" i="62"/>
  <c r="R109" i="62"/>
  <c r="J82" i="63"/>
  <c r="J68" i="63"/>
  <c r="J54" i="63"/>
  <c r="J48" i="63"/>
  <c r="J36" i="63"/>
  <c r="J77" i="63"/>
  <c r="J71" i="63"/>
  <c r="J65" i="63"/>
  <c r="J59" i="63"/>
  <c r="J47" i="63"/>
  <c r="J35" i="63"/>
  <c r="J74" i="63"/>
  <c r="J70" i="63"/>
  <c r="J62" i="63"/>
  <c r="J56" i="63"/>
  <c r="J46" i="63"/>
  <c r="J42" i="63"/>
  <c r="J34" i="63"/>
  <c r="J30" i="63"/>
  <c r="J85" i="63"/>
  <c r="J81" i="63"/>
  <c r="J73" i="63"/>
  <c r="J67" i="63"/>
  <c r="J61" i="63"/>
  <c r="J53" i="63"/>
  <c r="J45" i="63"/>
  <c r="J41" i="63"/>
  <c r="J89" i="63"/>
  <c r="J83" i="63"/>
  <c r="J79" i="63"/>
  <c r="J69" i="63"/>
  <c r="J55" i="63"/>
  <c r="J51" i="63"/>
  <c r="J39" i="63"/>
  <c r="J33" i="63"/>
  <c r="J78" i="63"/>
  <c r="J72" i="63"/>
  <c r="J66" i="63"/>
  <c r="J60" i="63"/>
  <c r="J50" i="63"/>
  <c r="J38" i="63"/>
  <c r="J26" i="63"/>
  <c r="J43" i="63"/>
  <c r="J75" i="63"/>
  <c r="Z77" i="63"/>
  <c r="N82" i="63"/>
  <c r="J87" i="63"/>
  <c r="L15" i="67"/>
  <c r="D12" i="67"/>
  <c r="Z66" i="68"/>
  <c r="R33" i="69"/>
  <c r="P76" i="69"/>
  <c r="X76" i="69" s="1"/>
  <c r="Z76" i="69" s="1"/>
  <c r="X77" i="69"/>
  <c r="J22" i="58"/>
  <c r="J34" i="58"/>
  <c r="J46" i="58"/>
  <c r="J54" i="58"/>
  <c r="J58" i="58"/>
  <c r="F59" i="58"/>
  <c r="J62" i="58"/>
  <c r="J66" i="58"/>
  <c r="F67" i="58"/>
  <c r="R22" i="59"/>
  <c r="R34" i="59"/>
  <c r="R43" i="59"/>
  <c r="R50" i="59"/>
  <c r="R54" i="59"/>
  <c r="F22" i="60"/>
  <c r="F29" i="60"/>
  <c r="F34" i="60"/>
  <c r="J22" i="61"/>
  <c r="F23" i="61"/>
  <c r="J34" i="61"/>
  <c r="F35" i="61"/>
  <c r="J40" i="61"/>
  <c r="J46" i="61"/>
  <c r="R17" i="62"/>
  <c r="R22" i="62"/>
  <c r="R30" i="62"/>
  <c r="R34" i="62"/>
  <c r="J37" i="62"/>
  <c r="J45" i="62"/>
  <c r="R50" i="62"/>
  <c r="J51" i="62"/>
  <c r="J57" i="62"/>
  <c r="J65" i="62"/>
  <c r="R74" i="62"/>
  <c r="J75" i="62"/>
  <c r="J81" i="62"/>
  <c r="R86" i="62"/>
  <c r="J87" i="62"/>
  <c r="R91" i="62"/>
  <c r="J93" i="62"/>
  <c r="R95" i="62"/>
  <c r="J19" i="63"/>
  <c r="J27" i="63"/>
  <c r="J57" i="63"/>
  <c r="J58" i="63"/>
  <c r="J63" i="63"/>
  <c r="X46" i="64"/>
  <c r="X45" i="65"/>
  <c r="Z45" i="65" s="1"/>
  <c r="L67" i="65"/>
  <c r="N67" i="65" s="1"/>
  <c r="X81" i="65"/>
  <c r="Z81" i="65" s="1"/>
  <c r="N42" i="67"/>
  <c r="Z92" i="67"/>
  <c r="X12" i="64"/>
  <c r="R20" i="64"/>
  <c r="R25" i="64"/>
  <c r="J27" i="64"/>
  <c r="R32" i="64"/>
  <c r="J33" i="64"/>
  <c r="R37" i="64"/>
  <c r="R40" i="64"/>
  <c r="J41" i="64"/>
  <c r="J47" i="64"/>
  <c r="R49" i="64"/>
  <c r="J51" i="64"/>
  <c r="J22" i="65"/>
  <c r="H31" i="65"/>
  <c r="J42" i="65"/>
  <c r="J46" i="65"/>
  <c r="J54" i="65"/>
  <c r="J60" i="65"/>
  <c r="J66" i="65"/>
  <c r="J82" i="65"/>
  <c r="J89" i="65"/>
  <c r="V99" i="67"/>
  <c r="V91" i="67"/>
  <c r="V87" i="67"/>
  <c r="V83" i="67"/>
  <c r="V110" i="67"/>
  <c r="V115" i="67"/>
  <c r="V107" i="67"/>
  <c r="V101" i="67"/>
  <c r="V97" i="67"/>
  <c r="V93" i="67"/>
  <c r="V89" i="67"/>
  <c r="V85" i="67"/>
  <c r="V77" i="67"/>
  <c r="V100" i="67"/>
  <c r="V96" i="67"/>
  <c r="V92" i="67"/>
  <c r="V88" i="67"/>
  <c r="V102" i="67"/>
  <c r="V111" i="67"/>
  <c r="V105" i="67"/>
  <c r="V81" i="67"/>
  <c r="X19" i="67"/>
  <c r="Z19" i="67" s="1"/>
  <c r="V20" i="67"/>
  <c r="J24" i="67"/>
  <c r="V28" i="67"/>
  <c r="J32" i="67"/>
  <c r="V36" i="67"/>
  <c r="J40" i="67"/>
  <c r="J44" i="67"/>
  <c r="V48" i="67"/>
  <c r="J52" i="67"/>
  <c r="J56" i="67"/>
  <c r="V60" i="67"/>
  <c r="V64" i="67"/>
  <c r="J66" i="67"/>
  <c r="V72" i="67"/>
  <c r="J74" i="67"/>
  <c r="J77" i="67"/>
  <c r="J80" i="67"/>
  <c r="J91" i="67"/>
  <c r="J100" i="67"/>
  <c r="V104" i="67"/>
  <c r="V109" i="67"/>
  <c r="J117" i="67"/>
  <c r="Z25" i="68"/>
  <c r="V25" i="68"/>
  <c r="X49" i="68"/>
  <c r="Z49" i="68" s="1"/>
  <c r="L51" i="68"/>
  <c r="N51" i="68" s="1"/>
  <c r="Z34" i="71"/>
  <c r="R29" i="64"/>
  <c r="J36" i="64"/>
  <c r="J44" i="64"/>
  <c r="R46" i="64"/>
  <c r="J48" i="64"/>
  <c r="R53" i="64"/>
  <c r="J54" i="64"/>
  <c r="P12" i="65"/>
  <c r="J23" i="65"/>
  <c r="J35" i="65"/>
  <c r="J43" i="65"/>
  <c r="J47" i="65"/>
  <c r="J55" i="65"/>
  <c r="J63" i="65"/>
  <c r="J69" i="65"/>
  <c r="J79" i="65"/>
  <c r="J83" i="65"/>
  <c r="J87" i="65"/>
  <c r="J19" i="67"/>
  <c r="V21" i="67"/>
  <c r="J25" i="67"/>
  <c r="V29" i="67"/>
  <c r="J33" i="67"/>
  <c r="V37" i="67"/>
  <c r="J45" i="67"/>
  <c r="V49" i="67"/>
  <c r="V53" i="67"/>
  <c r="J57" i="67"/>
  <c r="V61" i="67"/>
  <c r="V65" i="67"/>
  <c r="J69" i="67"/>
  <c r="V73" i="67"/>
  <c r="N81" i="67"/>
  <c r="J82" i="67"/>
  <c r="J84" i="67"/>
  <c r="X88" i="67"/>
  <c r="Z88" i="67" s="1"/>
  <c r="X92" i="67"/>
  <c r="N95" i="67"/>
  <c r="J99" i="67"/>
  <c r="N107" i="67"/>
  <c r="L36" i="68"/>
  <c r="N36" i="68" s="1"/>
  <c r="N56" i="69"/>
  <c r="N22" i="71"/>
  <c r="P12" i="72"/>
  <c r="X14" i="72"/>
  <c r="V87" i="73"/>
  <c r="V81" i="73"/>
  <c r="V77" i="73"/>
  <c r="V61" i="73"/>
  <c r="V53" i="73"/>
  <c r="V49" i="73"/>
  <c r="V37" i="73"/>
  <c r="V33" i="73"/>
  <c r="V25" i="73"/>
  <c r="V91" i="73"/>
  <c r="V85" i="73"/>
  <c r="V73" i="73"/>
  <c r="V69" i="73"/>
  <c r="V65" i="73"/>
  <c r="V57" i="73"/>
  <c r="V45" i="73"/>
  <c r="V41" i="73"/>
  <c r="V29" i="73"/>
  <c r="V17" i="73"/>
  <c r="V74" i="73"/>
  <c r="V55" i="73"/>
  <c r="V54" i="73"/>
  <c r="V32" i="73"/>
  <c r="V31" i="73"/>
  <c r="V30" i="73"/>
  <c r="V78" i="73"/>
  <c r="V71" i="73"/>
  <c r="V70" i="73"/>
  <c r="V59" i="73"/>
  <c r="V83" i="73"/>
  <c r="V67" i="73"/>
  <c r="V66" i="73"/>
  <c r="V58" i="73"/>
  <c r="V46" i="73"/>
  <c r="V82" i="73"/>
  <c r="V63" i="73"/>
  <c r="V62" i="73"/>
  <c r="V52" i="73"/>
  <c r="V51" i="73"/>
  <c r="V44" i="73"/>
  <c r="V40" i="73"/>
  <c r="V36" i="73"/>
  <c r="V24" i="73"/>
  <c r="V16" i="73"/>
  <c r="V84" i="73"/>
  <c r="V72" i="73"/>
  <c r="V60" i="73"/>
  <c r="V42" i="73"/>
  <c r="V38" i="73"/>
  <c r="V34" i="73"/>
  <c r="V19" i="73"/>
  <c r="V80" i="73"/>
  <c r="V79" i="73"/>
  <c r="V68" i="73"/>
  <c r="V50" i="73"/>
  <c r="V28" i="73"/>
  <c r="V27" i="73"/>
  <c r="V26" i="73"/>
  <c r="V18" i="73"/>
  <c r="V35" i="73"/>
  <c r="V39" i="73"/>
  <c r="V48" i="73"/>
  <c r="V43" i="73"/>
  <c r="V75" i="73"/>
  <c r="V64" i="73"/>
  <c r="V23" i="73"/>
  <c r="T21" i="73"/>
  <c r="R22" i="64"/>
  <c r="R27" i="64"/>
  <c r="J28" i="64"/>
  <c r="J34" i="64"/>
  <c r="J42" i="64"/>
  <c r="R47" i="64"/>
  <c r="R51" i="64"/>
  <c r="J52" i="64"/>
  <c r="J19" i="65"/>
  <c r="J25" i="65"/>
  <c r="J37" i="65"/>
  <c r="J49" i="65"/>
  <c r="J61" i="65"/>
  <c r="J67" i="65"/>
  <c r="J73" i="65"/>
  <c r="J77" i="65"/>
  <c r="J90" i="65"/>
  <c r="J95" i="65"/>
  <c r="V23" i="67"/>
  <c r="J27" i="67"/>
  <c r="V31" i="67"/>
  <c r="J35" i="67"/>
  <c r="V43" i="67"/>
  <c r="J47" i="67"/>
  <c r="V51" i="67"/>
  <c r="J53" i="67"/>
  <c r="V55" i="67"/>
  <c r="J59" i="67"/>
  <c r="V63" i="67"/>
  <c r="J67" i="67"/>
  <c r="V71" i="67"/>
  <c r="V94" i="67"/>
  <c r="V108" i="67"/>
  <c r="L13" i="68"/>
  <c r="N13" i="68" s="1"/>
  <c r="D12" i="68"/>
  <c r="N26" i="68"/>
  <c r="L15" i="69"/>
  <c r="D12" i="69"/>
  <c r="J55" i="71"/>
  <c r="J19" i="64"/>
  <c r="J25" i="64"/>
  <c r="R33" i="64"/>
  <c r="R36" i="64"/>
  <c r="J37" i="64"/>
  <c r="R41" i="64"/>
  <c r="R44" i="64"/>
  <c r="R48" i="64"/>
  <c r="J49" i="64"/>
  <c r="J55" i="64"/>
  <c r="J61" i="64"/>
  <c r="J26" i="65"/>
  <c r="J38" i="65"/>
  <c r="J50" i="65"/>
  <c r="J56" i="65"/>
  <c r="J64" i="65"/>
  <c r="J70" i="65"/>
  <c r="J74" i="65"/>
  <c r="J84" i="65"/>
  <c r="J113" i="67"/>
  <c r="J107" i="67"/>
  <c r="J103" i="67"/>
  <c r="J85" i="67"/>
  <c r="J109" i="67"/>
  <c r="J105" i="67"/>
  <c r="J95" i="67"/>
  <c r="J79" i="67"/>
  <c r="J111" i="67"/>
  <c r="J102" i="67"/>
  <c r="J104" i="67"/>
  <c r="J98" i="67"/>
  <c r="J94" i="67"/>
  <c r="J90" i="67"/>
  <c r="J86" i="67"/>
  <c r="J115" i="67"/>
  <c r="J110" i="67"/>
  <c r="J101" i="67"/>
  <c r="J97" i="67"/>
  <c r="J93" i="67"/>
  <c r="J89" i="67"/>
  <c r="J83" i="67"/>
  <c r="J20" i="67"/>
  <c r="V24" i="67"/>
  <c r="J28" i="67"/>
  <c r="V32" i="67"/>
  <c r="J36" i="67"/>
  <c r="V44" i="67"/>
  <c r="J48" i="67"/>
  <c r="V52" i="67"/>
  <c r="V56" i="67"/>
  <c r="J60" i="67"/>
  <c r="V68" i="67"/>
  <c r="J70" i="67"/>
  <c r="V76" i="67"/>
  <c r="V80" i="67"/>
  <c r="V82" i="67"/>
  <c r="V84" i="67"/>
  <c r="V90" i="67"/>
  <c r="Z95" i="67"/>
  <c r="Z107" i="67"/>
  <c r="P12" i="68"/>
  <c r="X16" i="68"/>
  <c r="T78" i="68"/>
  <c r="V23" i="68"/>
  <c r="Z23" i="72"/>
  <c r="V23" i="72"/>
  <c r="V76" i="73"/>
  <c r="R18" i="64"/>
  <c r="J20" i="64"/>
  <c r="J24" i="64"/>
  <c r="J32" i="64"/>
  <c r="J40" i="64"/>
  <c r="R45" i="64"/>
  <c r="J46" i="64"/>
  <c r="R54" i="64"/>
  <c r="X57" i="64"/>
  <c r="J27" i="65"/>
  <c r="J39" i="65"/>
  <c r="J45" i="65"/>
  <c r="J51" i="65"/>
  <c r="J59" i="65"/>
  <c r="J81" i="65"/>
  <c r="J88" i="65"/>
  <c r="T113" i="67"/>
  <c r="V45" i="67"/>
  <c r="J49" i="67"/>
  <c r="V57" i="67"/>
  <c r="J61" i="67"/>
  <c r="J65" i="67"/>
  <c r="V69" i="67"/>
  <c r="J73" i="67"/>
  <c r="V79" i="67"/>
  <c r="Z83" i="67"/>
  <c r="V95" i="67"/>
  <c r="V98" i="67"/>
  <c r="L77" i="69"/>
  <c r="D76" i="69"/>
  <c r="L76" i="69" s="1"/>
  <c r="N76" i="69" s="1"/>
  <c r="H22" i="64"/>
  <c r="J29" i="64"/>
  <c r="R31" i="64"/>
  <c r="R34" i="64"/>
  <c r="J35" i="64"/>
  <c r="R39" i="64"/>
  <c r="R42" i="64"/>
  <c r="J43" i="64"/>
  <c r="J53" i="64"/>
  <c r="J57" i="64"/>
  <c r="R59" i="64"/>
  <c r="J20" i="65"/>
  <c r="J28" i="65"/>
  <c r="J34" i="65"/>
  <c r="J40" i="65"/>
  <c r="J52" i="65"/>
  <c r="J62" i="65"/>
  <c r="J68" i="65"/>
  <c r="J78" i="65"/>
  <c r="J22" i="67"/>
  <c r="V26" i="67"/>
  <c r="J30" i="67"/>
  <c r="V34" i="67"/>
  <c r="J38" i="67"/>
  <c r="V40" i="67"/>
  <c r="J42" i="67"/>
  <c r="V42" i="67"/>
  <c r="V46" i="67"/>
  <c r="J50" i="67"/>
  <c r="J54" i="67"/>
  <c r="V58" i="67"/>
  <c r="J62" i="67"/>
  <c r="V66" i="67"/>
  <c r="J68" i="67"/>
  <c r="V74" i="67"/>
  <c r="J76" i="67"/>
  <c r="X83" i="67"/>
  <c r="J87" i="67"/>
  <c r="V103" i="67"/>
  <c r="N25" i="68"/>
  <c r="N45" i="69"/>
  <c r="L73" i="69"/>
  <c r="N73" i="69" s="1"/>
  <c r="L70" i="74"/>
  <c r="N70" i="74" s="1"/>
  <c r="X108" i="67"/>
  <c r="Z108" i="67" s="1"/>
  <c r="V26" i="68"/>
  <c r="V34" i="68"/>
  <c r="V38" i="68"/>
  <c r="V46" i="68"/>
  <c r="V54" i="68"/>
  <c r="V66" i="68"/>
  <c r="V83" i="69"/>
  <c r="V20" i="69"/>
  <c r="J24" i="69"/>
  <c r="V28" i="69"/>
  <c r="J36" i="69"/>
  <c r="V40" i="69"/>
  <c r="J44" i="69"/>
  <c r="J48" i="69"/>
  <c r="V52" i="69"/>
  <c r="V56" i="69"/>
  <c r="J58" i="69"/>
  <c r="V64" i="69"/>
  <c r="J66" i="69"/>
  <c r="J72" i="69"/>
  <c r="J76" i="69"/>
  <c r="N70" i="71"/>
  <c r="X16" i="72"/>
  <c r="F41" i="73"/>
  <c r="Z79" i="73"/>
  <c r="F19" i="74"/>
  <c r="V86" i="74"/>
  <c r="L13" i="76"/>
  <c r="N13" i="76" s="1"/>
  <c r="D12" i="76"/>
  <c r="V27" i="68"/>
  <c r="V35" i="68"/>
  <c r="V39" i="68"/>
  <c r="V51" i="68"/>
  <c r="V55" i="68"/>
  <c r="V67" i="68"/>
  <c r="J37" i="69"/>
  <c r="V41" i="69"/>
  <c r="V45" i="69"/>
  <c r="J49" i="69"/>
  <c r="V53" i="69"/>
  <c r="V57" i="69"/>
  <c r="J61" i="69"/>
  <c r="V65" i="69"/>
  <c r="J69" i="69"/>
  <c r="V73" i="69"/>
  <c r="V77" i="69"/>
  <c r="V75" i="71"/>
  <c r="Z16" i="72"/>
  <c r="T19" i="72"/>
  <c r="V16" i="72"/>
  <c r="F87" i="73"/>
  <c r="F74" i="73"/>
  <c r="F70" i="73"/>
  <c r="F66" i="73"/>
  <c r="F49" i="73"/>
  <c r="F46" i="73"/>
  <c r="F42" i="73"/>
  <c r="F30" i="73"/>
  <c r="F18" i="73"/>
  <c r="F78" i="73"/>
  <c r="F50" i="73"/>
  <c r="F45" i="73"/>
  <c r="F38" i="73"/>
  <c r="F26" i="73"/>
  <c r="F52" i="73"/>
  <c r="F44" i="73"/>
  <c r="F40" i="73"/>
  <c r="F36" i="73"/>
  <c r="F25" i="73"/>
  <c r="F58" i="73"/>
  <c r="F57" i="73"/>
  <c r="F51" i="73"/>
  <c r="F43" i="73"/>
  <c r="F39" i="73"/>
  <c r="F35" i="73"/>
  <c r="F21" i="73"/>
  <c r="F91" i="73"/>
  <c r="F85" i="73"/>
  <c r="F82" i="73"/>
  <c r="F81" i="73"/>
  <c r="F73" i="73"/>
  <c r="F62" i="73"/>
  <c r="F61" i="73"/>
  <c r="F29" i="73"/>
  <c r="F27" i="73"/>
  <c r="D21" i="73"/>
  <c r="F19" i="73"/>
  <c r="F80" i="73"/>
  <c r="F77" i="73"/>
  <c r="F69" i="73"/>
  <c r="F28" i="73"/>
  <c r="F24" i="73"/>
  <c r="F16" i="73"/>
  <c r="F84" i="73"/>
  <c r="F72" i="73"/>
  <c r="F71" i="73"/>
  <c r="F60" i="73"/>
  <c r="F47" i="73"/>
  <c r="F32" i="73"/>
  <c r="F68" i="73"/>
  <c r="F67" i="73"/>
  <c r="F59" i="73"/>
  <c r="L12" i="73"/>
  <c r="F17" i="73"/>
  <c r="F37" i="73"/>
  <c r="F48" i="73"/>
  <c r="P12" i="74"/>
  <c r="X13" i="74"/>
  <c r="Z13" i="74" s="1"/>
  <c r="J51" i="74"/>
  <c r="J74" i="74"/>
  <c r="V41" i="68"/>
  <c r="V49" i="68"/>
  <c r="V65" i="68"/>
  <c r="V69" i="68"/>
  <c r="V73" i="68"/>
  <c r="J27" i="69"/>
  <c r="V35" i="69"/>
  <c r="J39" i="69"/>
  <c r="V43" i="69"/>
  <c r="J45" i="69"/>
  <c r="V47" i="69"/>
  <c r="J51" i="69"/>
  <c r="V55" i="69"/>
  <c r="J59" i="69"/>
  <c r="V63" i="69"/>
  <c r="J67" i="69"/>
  <c r="V71" i="69"/>
  <c r="J73" i="69"/>
  <c r="D12" i="71"/>
  <c r="X34" i="71"/>
  <c r="Z49" i="71"/>
  <c r="X61" i="71"/>
  <c r="Z61" i="71" s="1"/>
  <c r="F56" i="73"/>
  <c r="F65" i="73"/>
  <c r="F85" i="74"/>
  <c r="F78" i="74"/>
  <c r="F74" i="74"/>
  <c r="F65" i="74"/>
  <c r="F62" i="74"/>
  <c r="F42" i="74"/>
  <c r="F37" i="74"/>
  <c r="F30" i="74"/>
  <c r="F81" i="74"/>
  <c r="F77" i="74"/>
  <c r="F56" i="74"/>
  <c r="F53" i="74"/>
  <c r="F48" i="74"/>
  <c r="F41" i="74"/>
  <c r="F29" i="74"/>
  <c r="F92" i="74"/>
  <c r="F86" i="74"/>
  <c r="F73" i="74"/>
  <c r="F66" i="74"/>
  <c r="F61" i="74"/>
  <c r="F58" i="74"/>
  <c r="F46" i="74"/>
  <c r="F38" i="74"/>
  <c r="F34" i="74"/>
  <c r="F80" i="74"/>
  <c r="F76" i="74"/>
  <c r="F69" i="74"/>
  <c r="F57" i="74"/>
  <c r="F52" i="74"/>
  <c r="F49" i="74"/>
  <c r="F45" i="74"/>
  <c r="F33" i="74"/>
  <c r="F21" i="74"/>
  <c r="F64" i="74"/>
  <c r="F63" i="74"/>
  <c r="F44" i="74"/>
  <c r="F28" i="74"/>
  <c r="D24" i="74"/>
  <c r="F22" i="74"/>
  <c r="F18" i="74"/>
  <c r="F84" i="74"/>
  <c r="F43" i="74"/>
  <c r="F27" i="74"/>
  <c r="F83" i="74"/>
  <c r="F82" i="74"/>
  <c r="F79" i="74"/>
  <c r="F68" i="74"/>
  <c r="F67" i="74"/>
  <c r="F71" i="74"/>
  <c r="F70" i="74"/>
  <c r="F55" i="74"/>
  <c r="F54" i="74"/>
  <c r="F51" i="74"/>
  <c r="F50" i="74"/>
  <c r="F47" i="74"/>
  <c r="F39" i="74"/>
  <c r="F35" i="74"/>
  <c r="F26" i="74"/>
  <c r="F75" i="74"/>
  <c r="F60" i="74"/>
  <c r="F59" i="74"/>
  <c r="F32" i="74"/>
  <c r="F20" i="74"/>
  <c r="L12" i="74"/>
  <c r="F88" i="74"/>
  <c r="H22" i="75"/>
  <c r="N17" i="75"/>
  <c r="J17" i="75"/>
  <c r="V30" i="68"/>
  <c r="V42" i="68"/>
  <c r="V50" i="68"/>
  <c r="V58" i="68"/>
  <c r="V62" i="68"/>
  <c r="V70" i="68"/>
  <c r="J20" i="69"/>
  <c r="V24" i="69"/>
  <c r="J28" i="69"/>
  <c r="T31" i="69"/>
  <c r="J34" i="69"/>
  <c r="V36" i="69"/>
  <c r="J40" i="69"/>
  <c r="V44" i="69"/>
  <c r="V48" i="69"/>
  <c r="J52" i="69"/>
  <c r="V60" i="69"/>
  <c r="J62" i="69"/>
  <c r="V68" i="69"/>
  <c r="J70" i="69"/>
  <c r="V72" i="69"/>
  <c r="J77" i="69"/>
  <c r="V78" i="69"/>
  <c r="J83" i="69"/>
  <c r="N51" i="71"/>
  <c r="X53" i="71"/>
  <c r="Z65" i="71"/>
  <c r="X65" i="71"/>
  <c r="F31" i="73"/>
  <c r="N47" i="73"/>
  <c r="L47" i="73"/>
  <c r="N51" i="73"/>
  <c r="F64" i="73"/>
  <c r="F76" i="73"/>
  <c r="J81" i="74"/>
  <c r="J77" i="74"/>
  <c r="J67" i="74"/>
  <c r="J59" i="74"/>
  <c r="J53" i="74"/>
  <c r="J41" i="74"/>
  <c r="J29" i="74"/>
  <c r="J88" i="74"/>
  <c r="J84" i="74"/>
  <c r="J70" i="74"/>
  <c r="J64" i="74"/>
  <c r="J50" i="74"/>
  <c r="J40" i="74"/>
  <c r="J36" i="74"/>
  <c r="J28" i="74"/>
  <c r="J18" i="74"/>
  <c r="J69" i="74"/>
  <c r="J63" i="74"/>
  <c r="J57" i="74"/>
  <c r="J49" i="74"/>
  <c r="J45" i="74"/>
  <c r="J33" i="74"/>
  <c r="J27" i="74"/>
  <c r="J82" i="74"/>
  <c r="J72" i="74"/>
  <c r="J68" i="74"/>
  <c r="J60" i="74"/>
  <c r="J54" i="74"/>
  <c r="J44" i="74"/>
  <c r="J32" i="74"/>
  <c r="J20" i="74"/>
  <c r="N12" i="74"/>
  <c r="J85" i="74"/>
  <c r="J66" i="74"/>
  <c r="J43" i="74"/>
  <c r="J42" i="74"/>
  <c r="J86" i="74"/>
  <c r="J83" i="74"/>
  <c r="J79" i="74"/>
  <c r="J56" i="74"/>
  <c r="J52" i="74"/>
  <c r="J48" i="74"/>
  <c r="J34" i="74"/>
  <c r="J76" i="74"/>
  <c r="J73" i="74"/>
  <c r="J37" i="74"/>
  <c r="J26" i="74"/>
  <c r="J75" i="74"/>
  <c r="J61" i="74"/>
  <c r="J62" i="74"/>
  <c r="J58" i="74"/>
  <c r="J31" i="74"/>
  <c r="H24" i="74"/>
  <c r="J19" i="74"/>
  <c r="N18" i="74"/>
  <c r="N26" i="74"/>
  <c r="J46" i="74"/>
  <c r="L50" i="74"/>
  <c r="N50" i="74"/>
  <c r="V67" i="74"/>
  <c r="N73" i="74"/>
  <c r="L73" i="74"/>
  <c r="N76" i="74"/>
  <c r="J78" i="74"/>
  <c r="L92" i="76"/>
  <c r="D91" i="76"/>
  <c r="L91" i="76" s="1"/>
  <c r="V47" i="68"/>
  <c r="V59" i="68"/>
  <c r="V63" i="68"/>
  <c r="V71" i="68"/>
  <c r="J53" i="69"/>
  <c r="J57" i="69"/>
  <c r="V61" i="69"/>
  <c r="J65" i="69"/>
  <c r="V69" i="69"/>
  <c r="Z53" i="71"/>
  <c r="V85" i="74"/>
  <c r="V69" i="74"/>
  <c r="V65" i="74"/>
  <c r="V57" i="74"/>
  <c r="V49" i="74"/>
  <c r="V45" i="74"/>
  <c r="V37" i="74"/>
  <c r="V33" i="74"/>
  <c r="V72" i="74"/>
  <c r="V68" i="74"/>
  <c r="V60" i="74"/>
  <c r="V56" i="74"/>
  <c r="V48" i="74"/>
  <c r="V44" i="74"/>
  <c r="V32" i="74"/>
  <c r="V20" i="74"/>
  <c r="V81" i="74"/>
  <c r="V77" i="74"/>
  <c r="V73" i="74"/>
  <c r="V61" i="74"/>
  <c r="V53" i="74"/>
  <c r="V41" i="74"/>
  <c r="V29" i="74"/>
  <c r="V84" i="74"/>
  <c r="V80" i="74"/>
  <c r="V76" i="74"/>
  <c r="V64" i="74"/>
  <c r="V52" i="74"/>
  <c r="V40" i="74"/>
  <c r="V36" i="74"/>
  <c r="V28" i="74"/>
  <c r="V71" i="74"/>
  <c r="V70" i="74"/>
  <c r="V59" i="74"/>
  <c r="V55" i="74"/>
  <c r="V54" i="74"/>
  <c r="V51" i="74"/>
  <c r="V50" i="74"/>
  <c r="V47" i="74"/>
  <c r="V39" i="74"/>
  <c r="V35" i="74"/>
  <c r="V34" i="74"/>
  <c r="V75" i="74"/>
  <c r="V74" i="74"/>
  <c r="V46" i="74"/>
  <c r="V38" i="74"/>
  <c r="V63" i="74"/>
  <c r="V31" i="74"/>
  <c r="V30" i="74"/>
  <c r="V27" i="74"/>
  <c r="T24" i="74"/>
  <c r="V24" i="74" s="1"/>
  <c r="V19" i="74"/>
  <c r="V18" i="74"/>
  <c r="V58" i="74"/>
  <c r="V22" i="74"/>
  <c r="V92" i="74"/>
  <c r="V83" i="74"/>
  <c r="V82" i="74"/>
  <c r="V79" i="74"/>
  <c r="V78" i="74"/>
  <c r="V42" i="74"/>
  <c r="V26" i="74"/>
  <c r="V66" i="74"/>
  <c r="N37" i="74"/>
  <c r="F72" i="74"/>
  <c r="J96" i="76"/>
  <c r="J82" i="76"/>
  <c r="J76" i="76"/>
  <c r="J68" i="76"/>
  <c r="J64" i="76"/>
  <c r="J58" i="76"/>
  <c r="J52" i="76"/>
  <c r="J40" i="76"/>
  <c r="J28" i="76"/>
  <c r="J18" i="76"/>
  <c r="J91" i="76"/>
  <c r="J87" i="76"/>
  <c r="J75" i="76"/>
  <c r="J71" i="76"/>
  <c r="J67" i="76"/>
  <c r="J63" i="76"/>
  <c r="J55" i="76"/>
  <c r="J49" i="76"/>
  <c r="J39" i="76"/>
  <c r="J35" i="76"/>
  <c r="J27" i="76"/>
  <c r="J23" i="76"/>
  <c r="J84" i="76"/>
  <c r="J74" i="76"/>
  <c r="J66" i="76"/>
  <c r="J60" i="76"/>
  <c r="J54" i="76"/>
  <c r="J46" i="76"/>
  <c r="J38" i="76"/>
  <c r="J34" i="76"/>
  <c r="H23" i="76"/>
  <c r="J89" i="76"/>
  <c r="J81" i="76"/>
  <c r="J73" i="76"/>
  <c r="J57" i="76"/>
  <c r="J51" i="76"/>
  <c r="J45" i="76"/>
  <c r="J37" i="76"/>
  <c r="J33" i="76"/>
  <c r="J25" i="76"/>
  <c r="J21" i="76"/>
  <c r="J86" i="76"/>
  <c r="J80" i="76"/>
  <c r="J70" i="76"/>
  <c r="J62" i="76"/>
  <c r="J48" i="76"/>
  <c r="J44" i="76"/>
  <c r="J32" i="76"/>
  <c r="J26" i="76"/>
  <c r="J92" i="76"/>
  <c r="J83" i="76"/>
  <c r="J79" i="76"/>
  <c r="J65" i="76"/>
  <c r="J59" i="76"/>
  <c r="J53" i="76"/>
  <c r="J43" i="76"/>
  <c r="J31" i="76"/>
  <c r="J19" i="76"/>
  <c r="J47" i="76"/>
  <c r="J42" i="76"/>
  <c r="J88" i="76"/>
  <c r="J69" i="76"/>
  <c r="J85" i="76"/>
  <c r="J78" i="76"/>
  <c r="J50" i="76"/>
  <c r="J30" i="76"/>
  <c r="J56" i="76"/>
  <c r="J61" i="76"/>
  <c r="J41" i="76"/>
  <c r="J29" i="76"/>
  <c r="J77" i="76"/>
  <c r="J36" i="76"/>
  <c r="J20" i="76"/>
  <c r="Z45" i="78"/>
  <c r="X45" i="78"/>
  <c r="V20" i="68"/>
  <c r="V32" i="68"/>
  <c r="V36" i="68"/>
  <c r="V44" i="68"/>
  <c r="V48" i="68"/>
  <c r="V56" i="68"/>
  <c r="V60" i="68"/>
  <c r="D75" i="68"/>
  <c r="L75" i="68" s="1"/>
  <c r="V78" i="68"/>
  <c r="V80" i="68"/>
  <c r="J22" i="69"/>
  <c r="V26" i="69"/>
  <c r="H31" i="69"/>
  <c r="V38" i="69"/>
  <c r="J42" i="69"/>
  <c r="J46" i="69"/>
  <c r="V50" i="69"/>
  <c r="J54" i="69"/>
  <c r="V58" i="69"/>
  <c r="J60" i="69"/>
  <c r="V66" i="69"/>
  <c r="J68" i="69"/>
  <c r="V76" i="69"/>
  <c r="X14" i="71"/>
  <c r="Z14" i="71" s="1"/>
  <c r="P12" i="71"/>
  <c r="L23" i="71"/>
  <c r="N23" i="71" s="1"/>
  <c r="V53" i="71"/>
  <c r="L55" i="71"/>
  <c r="N55" i="71" s="1"/>
  <c r="T81" i="71"/>
  <c r="J91" i="73"/>
  <c r="J85" i="73"/>
  <c r="J79" i="73"/>
  <c r="J73" i="73"/>
  <c r="J69" i="73"/>
  <c r="J65" i="73"/>
  <c r="J57" i="73"/>
  <c r="J51" i="73"/>
  <c r="J41" i="73"/>
  <c r="J29" i="73"/>
  <c r="J17" i="73"/>
  <c r="J81" i="73"/>
  <c r="J77" i="73"/>
  <c r="J61" i="73"/>
  <c r="J53" i="73"/>
  <c r="J47" i="73"/>
  <c r="J37" i="73"/>
  <c r="J33" i="73"/>
  <c r="J25" i="73"/>
  <c r="J21" i="73"/>
  <c r="J82" i="73"/>
  <c r="J62" i="73"/>
  <c r="J43" i="73"/>
  <c r="J42" i="73"/>
  <c r="J39" i="73"/>
  <c r="J38" i="73"/>
  <c r="J35" i="73"/>
  <c r="J50" i="73"/>
  <c r="J49" i="73"/>
  <c r="J27" i="73"/>
  <c r="J26" i="73"/>
  <c r="J24" i="73"/>
  <c r="J19" i="73"/>
  <c r="J18" i="73"/>
  <c r="J16" i="73"/>
  <c r="J87" i="73"/>
  <c r="J80" i="73"/>
  <c r="J56" i="73"/>
  <c r="J34" i="73"/>
  <c r="J28" i="73"/>
  <c r="J84" i="73"/>
  <c r="J76" i="73"/>
  <c r="J75" i="73"/>
  <c r="J74" i="73"/>
  <c r="J72" i="73"/>
  <c r="J60" i="73"/>
  <c r="J55" i="73"/>
  <c r="J48" i="73"/>
  <c r="J31" i="73"/>
  <c r="J30" i="73"/>
  <c r="J67" i="73"/>
  <c r="J66" i="73"/>
  <c r="J64" i="73"/>
  <c r="J59" i="73"/>
  <c r="J54" i="73"/>
  <c r="J46" i="73"/>
  <c r="J45" i="73"/>
  <c r="J23" i="73"/>
  <c r="N12" i="73"/>
  <c r="J83" i="73"/>
  <c r="J63" i="73"/>
  <c r="H21" i="73"/>
  <c r="X24" i="73"/>
  <c r="Z24" i="73"/>
  <c r="F33" i="73"/>
  <c r="X51" i="73"/>
  <c r="Z51" i="73" s="1"/>
  <c r="F55" i="73"/>
  <c r="F63" i="73"/>
  <c r="F75" i="73"/>
  <c r="N79" i="73"/>
  <c r="V21" i="74"/>
  <c r="F36" i="74"/>
  <c r="F40" i="74"/>
  <c r="L53" i="76"/>
  <c r="N53" i="76" s="1"/>
  <c r="J16" i="71"/>
  <c r="J26" i="71"/>
  <c r="V30" i="71"/>
  <c r="V34" i="71"/>
  <c r="J38" i="71"/>
  <c r="V42" i="71"/>
  <c r="V46" i="71"/>
  <c r="J50" i="71"/>
  <c r="V54" i="71"/>
  <c r="J62" i="71"/>
  <c r="J66" i="71"/>
  <c r="F23" i="72"/>
  <c r="X14" i="73"/>
  <c r="Z14" i="73" s="1"/>
  <c r="P12" i="73"/>
  <c r="X16" i="73"/>
  <c r="Z16" i="73" s="1"/>
  <c r="N23" i="73"/>
  <c r="Z26" i="74"/>
  <c r="L54" i="74"/>
  <c r="N54" i="74" s="1"/>
  <c r="N61" i="74"/>
  <c r="X67" i="74"/>
  <c r="Z82" i="74"/>
  <c r="J30" i="77"/>
  <c r="J24" i="77"/>
  <c r="J20" i="77"/>
  <c r="J16" i="77"/>
  <c r="H16" i="77"/>
  <c r="J28" i="77"/>
  <c r="J22" i="77"/>
  <c r="J18" i="77"/>
  <c r="J19" i="77"/>
  <c r="J33" i="77"/>
  <c r="J26" i="77"/>
  <c r="J14" i="77"/>
  <c r="N12" i="77"/>
  <c r="J21" i="77"/>
  <c r="T101" i="82"/>
  <c r="X33" i="83"/>
  <c r="Z33" i="83"/>
  <c r="V23" i="71"/>
  <c r="J27" i="71"/>
  <c r="V31" i="71"/>
  <c r="V35" i="71"/>
  <c r="J39" i="71"/>
  <c r="V43" i="71"/>
  <c r="J45" i="71"/>
  <c r="V51" i="71"/>
  <c r="J53" i="71"/>
  <c r="J59" i="71"/>
  <c r="J63" i="71"/>
  <c r="J67" i="71"/>
  <c r="J71" i="71"/>
  <c r="J75" i="71"/>
  <c r="X27" i="74"/>
  <c r="L37" i="74"/>
  <c r="Z67" i="74"/>
  <c r="X80" i="74"/>
  <c r="Z80" i="74" s="1"/>
  <c r="D12" i="75"/>
  <c r="L17" i="75"/>
  <c r="X51" i="76"/>
  <c r="Z51" i="76" s="1"/>
  <c r="H32" i="79"/>
  <c r="N16" i="79"/>
  <c r="H32" i="80"/>
  <c r="V22" i="81"/>
  <c r="V14" i="81"/>
  <c r="V21" i="81"/>
  <c r="V35" i="81"/>
  <c r="V30" i="81"/>
  <c r="V28" i="81"/>
  <c r="V24" i="81"/>
  <c r="Z12" i="81"/>
  <c r="V23" i="81"/>
  <c r="V32" i="81"/>
  <c r="V26" i="81"/>
  <c r="V20" i="81"/>
  <c r="V18" i="81"/>
  <c r="V16" i="81"/>
  <c r="T16" i="81"/>
  <c r="V19" i="81"/>
  <c r="Z26" i="81"/>
  <c r="X26" i="81"/>
  <c r="J23" i="71"/>
  <c r="V25" i="71"/>
  <c r="J29" i="71"/>
  <c r="V33" i="71"/>
  <c r="V37" i="71"/>
  <c r="J41" i="71"/>
  <c r="V49" i="71"/>
  <c r="J51" i="71"/>
  <c r="J57" i="71"/>
  <c r="V61" i="71"/>
  <c r="V65" i="71"/>
  <c r="J69" i="71"/>
  <c r="V73" i="71"/>
  <c r="V77" i="71"/>
  <c r="V79" i="71"/>
  <c r="F17" i="72"/>
  <c r="D19" i="72"/>
  <c r="F27" i="72"/>
  <c r="Z18" i="74"/>
  <c r="Z27" i="74"/>
  <c r="N48" i="74"/>
  <c r="N52" i="74"/>
  <c r="Z63" i="74"/>
  <c r="X86" i="76"/>
  <c r="Z86" i="76" s="1"/>
  <c r="L47" i="78"/>
  <c r="N47" i="78" s="1"/>
  <c r="J18" i="71"/>
  <c r="V20" i="71"/>
  <c r="J22" i="71"/>
  <c r="V22" i="71"/>
  <c r="V26" i="71"/>
  <c r="J30" i="71"/>
  <c r="V38" i="71"/>
  <c r="J42" i="71"/>
  <c r="J46" i="71"/>
  <c r="V50" i="71"/>
  <c r="J54" i="71"/>
  <c r="V58" i="71"/>
  <c r="V62" i="71"/>
  <c r="V66" i="71"/>
  <c r="V70" i="71"/>
  <c r="J72" i="71"/>
  <c r="L16" i="72"/>
  <c r="N16" i="72" s="1"/>
  <c r="F19" i="72"/>
  <c r="N49" i="73"/>
  <c r="L58" i="73"/>
  <c r="X64" i="73"/>
  <c r="Z64" i="73" s="1"/>
  <c r="L14" i="74"/>
  <c r="X59" i="74"/>
  <c r="Z59" i="74" s="1"/>
  <c r="N88" i="74"/>
  <c r="P12" i="75"/>
  <c r="V86" i="76"/>
  <c r="L88" i="76"/>
  <c r="N88" i="76" s="1"/>
  <c r="H20" i="71"/>
  <c r="V27" i="71"/>
  <c r="J31" i="71"/>
  <c r="J35" i="71"/>
  <c r="V39" i="71"/>
  <c r="J43" i="71"/>
  <c r="V47" i="71"/>
  <c r="J49" i="71"/>
  <c r="V55" i="71"/>
  <c r="V59" i="71"/>
  <c r="J61" i="71"/>
  <c r="V63" i="71"/>
  <c r="J65" i="71"/>
  <c r="V67" i="71"/>
  <c r="F21" i="72"/>
  <c r="X23" i="72"/>
  <c r="N34" i="73"/>
  <c r="X68" i="73"/>
  <c r="Z68" i="73" s="1"/>
  <c r="Z50" i="74"/>
  <c r="Z54" i="74"/>
  <c r="L65" i="74"/>
  <c r="N65" i="74" s="1"/>
  <c r="Z70" i="74"/>
  <c r="X76" i="74"/>
  <c r="Z76" i="74" s="1"/>
  <c r="L85" i="74"/>
  <c r="N85" i="74" s="1"/>
  <c r="Z24" i="75"/>
  <c r="Z23" i="73"/>
  <c r="N80" i="74"/>
  <c r="N75" i="82"/>
  <c r="Z89" i="82"/>
  <c r="H19" i="72"/>
  <c r="V30" i="75"/>
  <c r="V24" i="75"/>
  <c r="V26" i="75"/>
  <c r="V25" i="75"/>
  <c r="V27" i="75"/>
  <c r="V19" i="75"/>
  <c r="Z17" i="75"/>
  <c r="J30" i="75"/>
  <c r="X14" i="76"/>
  <c r="P12" i="76"/>
  <c r="L36" i="76"/>
  <c r="Z62" i="76"/>
  <c r="T16" i="77"/>
  <c r="Z14" i="77"/>
  <c r="X14" i="77"/>
  <c r="N21" i="77"/>
  <c r="L21" i="77"/>
  <c r="N14" i="78"/>
  <c r="L14" i="78"/>
  <c r="P82" i="78"/>
  <c r="Z51" i="78"/>
  <c r="N76" i="78"/>
  <c r="F99" i="82"/>
  <c r="F87" i="82"/>
  <c r="F83" i="82"/>
  <c r="F70" i="82"/>
  <c r="F55" i="82"/>
  <c r="F50" i="82"/>
  <c r="F47" i="82"/>
  <c r="F39" i="82"/>
  <c r="F35" i="82"/>
  <c r="F27" i="82"/>
  <c r="F18" i="82"/>
  <c r="F90" i="82"/>
  <c r="F82" i="82"/>
  <c r="F77" i="82"/>
  <c r="F74" i="82"/>
  <c r="F66" i="82"/>
  <c r="F61" i="82"/>
  <c r="F58" i="82"/>
  <c r="F46" i="82"/>
  <c r="F38" i="82"/>
  <c r="F34" i="82"/>
  <c r="F94" i="82"/>
  <c r="F81" i="82"/>
  <c r="F73" i="82"/>
  <c r="F69" i="82"/>
  <c r="F52" i="82"/>
  <c r="F49" i="82"/>
  <c r="F45" i="82"/>
  <c r="F33" i="82"/>
  <c r="D23" i="82"/>
  <c r="F21" i="82"/>
  <c r="F92" i="82"/>
  <c r="F80" i="82"/>
  <c r="F76" i="82"/>
  <c r="F72" i="82"/>
  <c r="F68" i="82"/>
  <c r="F63" i="82"/>
  <c r="F60" i="82"/>
  <c r="F44" i="82"/>
  <c r="F32" i="82"/>
  <c r="F20" i="82"/>
  <c r="L12" i="82"/>
  <c r="F95" i="82"/>
  <c r="F89" i="82"/>
  <c r="F78" i="82"/>
  <c r="F65" i="82"/>
  <c r="F62" i="82"/>
  <c r="F57" i="82"/>
  <c r="F42" i="82"/>
  <c r="F37" i="82"/>
  <c r="F30" i="82"/>
  <c r="F85" i="82"/>
  <c r="F53" i="82"/>
  <c r="F48" i="82"/>
  <c r="F41" i="82"/>
  <c r="F29" i="82"/>
  <c r="F75" i="82"/>
  <c r="F28" i="82"/>
  <c r="F88" i="82"/>
  <c r="F84" i="82"/>
  <c r="F31" i="82"/>
  <c r="F43" i="82"/>
  <c r="F40" i="82"/>
  <c r="F64" i="82"/>
  <c r="F59" i="82"/>
  <c r="F54" i="82"/>
  <c r="F36" i="82"/>
  <c r="F26" i="82"/>
  <c r="F19" i="82"/>
  <c r="F91" i="82"/>
  <c r="F86" i="82"/>
  <c r="F25" i="82"/>
  <c r="T32" i="75"/>
  <c r="X25" i="75"/>
  <c r="Z25" i="75" s="1"/>
  <c r="T94" i="76"/>
  <c r="N36" i="76"/>
  <c r="Z18" i="78"/>
  <c r="Z73" i="78"/>
  <c r="X73" i="78"/>
  <c r="X76" i="78"/>
  <c r="Z76" i="78" s="1"/>
  <c r="Z19" i="79"/>
  <c r="X19" i="79"/>
  <c r="R32" i="81"/>
  <c r="R26" i="81"/>
  <c r="R22" i="81"/>
  <c r="R19" i="81"/>
  <c r="R14" i="81"/>
  <c r="R30" i="81"/>
  <c r="R24" i="81"/>
  <c r="R21" i="81"/>
  <c r="X12" i="81"/>
  <c r="R16" i="81"/>
  <c r="R28" i="81"/>
  <c r="R35" i="81"/>
  <c r="R20" i="81"/>
  <c r="R23" i="81"/>
  <c r="R18" i="81"/>
  <c r="P16" i="81"/>
  <c r="N25" i="82"/>
  <c r="F56" i="82"/>
  <c r="J34" i="75"/>
  <c r="J28" i="75"/>
  <c r="J24" i="75"/>
  <c r="J25" i="75"/>
  <c r="J27" i="75"/>
  <c r="V34" i="75"/>
  <c r="N25" i="76"/>
  <c r="X26" i="76"/>
  <c r="Z26" i="76" s="1"/>
  <c r="P26" i="77"/>
  <c r="Z19" i="77"/>
  <c r="X19" i="77"/>
  <c r="N18" i="78"/>
  <c r="Z53" i="78"/>
  <c r="X53" i="78"/>
  <c r="N60" i="78"/>
  <c r="F51" i="82"/>
  <c r="F67" i="82"/>
  <c r="F71" i="82"/>
  <c r="X25" i="76"/>
  <c r="Z25" i="76" s="1"/>
  <c r="L56" i="76"/>
  <c r="N56" i="76" s="1"/>
  <c r="X70" i="76"/>
  <c r="Z70" i="76" s="1"/>
  <c r="Z47" i="78"/>
  <c r="N55" i="78"/>
  <c r="L55" i="78"/>
  <c r="X60" i="78"/>
  <c r="Z71" i="78"/>
  <c r="Z48" i="82"/>
  <c r="Z48" i="83"/>
  <c r="L30" i="75"/>
  <c r="L65" i="76"/>
  <c r="N65" i="76" s="1"/>
  <c r="N72" i="76"/>
  <c r="L72" i="76"/>
  <c r="F20" i="77"/>
  <c r="F30" i="77"/>
  <c r="F24" i="77"/>
  <c r="F16" i="77"/>
  <c r="F28" i="77"/>
  <c r="F22" i="77"/>
  <c r="D16" i="77"/>
  <c r="F19" i="77"/>
  <c r="F18" i="77"/>
  <c r="L12" i="77"/>
  <c r="F26" i="77"/>
  <c r="L19" i="78"/>
  <c r="N19" i="78" s="1"/>
  <c r="Z60" i="78"/>
  <c r="L66" i="78"/>
  <c r="L16" i="79"/>
  <c r="V27" i="76"/>
  <c r="V35" i="76"/>
  <c r="V39" i="76"/>
  <c r="V51" i="76"/>
  <c r="V55" i="76"/>
  <c r="V63" i="76"/>
  <c r="V67" i="76"/>
  <c r="V71" i="76"/>
  <c r="V75" i="76"/>
  <c r="V87" i="76"/>
  <c r="T16" i="78"/>
  <c r="J19" i="78"/>
  <c r="V21" i="78"/>
  <c r="R22" i="78"/>
  <c r="J25" i="78"/>
  <c r="F26" i="78"/>
  <c r="F30" i="78"/>
  <c r="V33" i="78"/>
  <c r="R34" i="78"/>
  <c r="J37" i="78"/>
  <c r="F38" i="78"/>
  <c r="J41" i="78"/>
  <c r="F45" i="78"/>
  <c r="V45" i="78"/>
  <c r="R46" i="78"/>
  <c r="J47" i="78"/>
  <c r="F50" i="78"/>
  <c r="R51" i="78"/>
  <c r="F53" i="78"/>
  <c r="V53" i="78"/>
  <c r="R54" i="78"/>
  <c r="J55" i="78"/>
  <c r="V57" i="78"/>
  <c r="R58" i="78"/>
  <c r="V61" i="78"/>
  <c r="R62" i="78"/>
  <c r="V65" i="78"/>
  <c r="F70" i="78"/>
  <c r="R71" i="78"/>
  <c r="F73" i="78"/>
  <c r="V73" i="78"/>
  <c r="R74" i="78"/>
  <c r="V77" i="78"/>
  <c r="F25" i="79"/>
  <c r="F27" i="79"/>
  <c r="F24" i="79"/>
  <c r="F19" i="79"/>
  <c r="F36" i="79"/>
  <c r="F30" i="79"/>
  <c r="R21" i="79"/>
  <c r="R22" i="79"/>
  <c r="J23" i="79"/>
  <c r="J25" i="79"/>
  <c r="F34" i="79"/>
  <c r="R39" i="79"/>
  <c r="N21" i="80"/>
  <c r="L21" i="80"/>
  <c r="L16" i="81"/>
  <c r="D28" i="81"/>
  <c r="J94" i="82"/>
  <c r="J90" i="82"/>
  <c r="J82" i="82"/>
  <c r="J74" i="82"/>
  <c r="J66" i="82"/>
  <c r="J58" i="82"/>
  <c r="J52" i="82"/>
  <c r="J46" i="82"/>
  <c r="J38" i="82"/>
  <c r="J34" i="82"/>
  <c r="H23" i="82"/>
  <c r="J81" i="82"/>
  <c r="J73" i="82"/>
  <c r="J69" i="82"/>
  <c r="J63" i="82"/>
  <c r="J49" i="82"/>
  <c r="J45" i="82"/>
  <c r="J33" i="82"/>
  <c r="J25" i="82"/>
  <c r="J21" i="82"/>
  <c r="J92" i="82"/>
  <c r="J86" i="82"/>
  <c r="J80" i="82"/>
  <c r="J76" i="82"/>
  <c r="J72" i="82"/>
  <c r="J68" i="82"/>
  <c r="J60" i="82"/>
  <c r="J54" i="82"/>
  <c r="J44" i="82"/>
  <c r="J32" i="82"/>
  <c r="J26" i="82"/>
  <c r="J20" i="82"/>
  <c r="N12" i="82"/>
  <c r="J89" i="82"/>
  <c r="J79" i="82"/>
  <c r="J71" i="82"/>
  <c r="J65" i="82"/>
  <c r="J57" i="82"/>
  <c r="J51" i="82"/>
  <c r="J43" i="82"/>
  <c r="J37" i="82"/>
  <c r="J31" i="82"/>
  <c r="J19" i="82"/>
  <c r="J91" i="82"/>
  <c r="J85" i="82"/>
  <c r="J75" i="82"/>
  <c r="J67" i="82"/>
  <c r="J59" i="82"/>
  <c r="J53" i="82"/>
  <c r="J41" i="82"/>
  <c r="J29" i="82"/>
  <c r="J88" i="82"/>
  <c r="J84" i="82"/>
  <c r="J70" i="82"/>
  <c r="J64" i="82"/>
  <c r="J56" i="82"/>
  <c r="J50" i="82"/>
  <c r="J40" i="82"/>
  <c r="J36" i="82"/>
  <c r="J28" i="82"/>
  <c r="J18" i="82"/>
  <c r="L37" i="82"/>
  <c r="N37" i="82" s="1"/>
  <c r="Z63" i="82"/>
  <c r="X63" i="82"/>
  <c r="F88" i="83"/>
  <c r="F78" i="83"/>
  <c r="F71" i="83"/>
  <c r="F67" i="83"/>
  <c r="F63" i="83"/>
  <c r="F98" i="83"/>
  <c r="F91" i="83"/>
  <c r="F86" i="83"/>
  <c r="F81" i="83"/>
  <c r="F70" i="83"/>
  <c r="F62" i="83"/>
  <c r="F53" i="83"/>
  <c r="F77" i="83"/>
  <c r="F69" i="83"/>
  <c r="F89" i="83"/>
  <c r="F83" i="83"/>
  <c r="F80" i="83"/>
  <c r="F76" i="83"/>
  <c r="F55" i="83"/>
  <c r="F95" i="83"/>
  <c r="F85" i="83"/>
  <c r="F82" i="83"/>
  <c r="F74" i="83"/>
  <c r="F61" i="83"/>
  <c r="F54" i="83"/>
  <c r="F93" i="83"/>
  <c r="F73" i="83"/>
  <c r="F68" i="83"/>
  <c r="F65" i="83"/>
  <c r="F57" i="83"/>
  <c r="F36" i="83"/>
  <c r="F32" i="83"/>
  <c r="F24" i="83"/>
  <c r="F72" i="83"/>
  <c r="F46" i="83"/>
  <c r="F43" i="83"/>
  <c r="F35" i="83"/>
  <c r="F31" i="83"/>
  <c r="F20" i="83"/>
  <c r="F75" i="83"/>
  <c r="F66" i="83"/>
  <c r="F42" i="83"/>
  <c r="F34" i="83"/>
  <c r="F30" i="83"/>
  <c r="D20" i="83"/>
  <c r="F18" i="83"/>
  <c r="F79" i="83"/>
  <c r="F58" i="83"/>
  <c r="F52" i="83"/>
  <c r="F48" i="83"/>
  <c r="F45" i="83"/>
  <c r="F41" i="83"/>
  <c r="F29" i="83"/>
  <c r="F17" i="83"/>
  <c r="F64" i="83"/>
  <c r="F60" i="83"/>
  <c r="F51" i="83"/>
  <c r="F47" i="83"/>
  <c r="F39" i="83"/>
  <c r="F27" i="83"/>
  <c r="F84" i="83"/>
  <c r="F50" i="83"/>
  <c r="F38" i="83"/>
  <c r="F33" i="83"/>
  <c r="F26" i="83"/>
  <c r="V28" i="76"/>
  <c r="V40" i="76"/>
  <c r="V52" i="76"/>
  <c r="V60" i="76"/>
  <c r="V64" i="76"/>
  <c r="V68" i="76"/>
  <c r="V76" i="76"/>
  <c r="V84" i="76"/>
  <c r="V96" i="76"/>
  <c r="V16" i="78"/>
  <c r="V18" i="78"/>
  <c r="V22" i="78"/>
  <c r="V34" i="78"/>
  <c r="R35" i="78"/>
  <c r="J38" i="78"/>
  <c r="R40" i="78"/>
  <c r="V42" i="78"/>
  <c r="R43" i="78"/>
  <c r="V46" i="78"/>
  <c r="J50" i="78"/>
  <c r="V54" i="78"/>
  <c r="V58" i="78"/>
  <c r="R59" i="78"/>
  <c r="J60" i="78"/>
  <c r="V62" i="78"/>
  <c r="R63" i="78"/>
  <c r="J64" i="78"/>
  <c r="F67" i="78"/>
  <c r="J70" i="78"/>
  <c r="V74" i="78"/>
  <c r="R75" i="78"/>
  <c r="J76" i="78"/>
  <c r="F80" i="78"/>
  <c r="R82" i="78"/>
  <c r="J86" i="78"/>
  <c r="R89" i="78"/>
  <c r="J39" i="79"/>
  <c r="J32" i="79"/>
  <c r="J27" i="79"/>
  <c r="J21" i="79"/>
  <c r="J34" i="79"/>
  <c r="J28" i="79"/>
  <c r="J20" i="79"/>
  <c r="Z21" i="79"/>
  <c r="L65" i="82"/>
  <c r="N65" i="82" s="1"/>
  <c r="V23" i="76"/>
  <c r="V25" i="76"/>
  <c r="V29" i="76"/>
  <c r="V41" i="76"/>
  <c r="V49" i="76"/>
  <c r="V61" i="76"/>
  <c r="V69" i="76"/>
  <c r="V77" i="76"/>
  <c r="V85" i="76"/>
  <c r="V91" i="76"/>
  <c r="X12" i="78"/>
  <c r="H16" i="78"/>
  <c r="F20" i="78"/>
  <c r="V23" i="78"/>
  <c r="R24" i="78"/>
  <c r="J27" i="78"/>
  <c r="F28" i="78"/>
  <c r="R29" i="78"/>
  <c r="J31" i="78"/>
  <c r="F32" i="78"/>
  <c r="V35" i="78"/>
  <c r="R36" i="78"/>
  <c r="J39" i="78"/>
  <c r="V43" i="78"/>
  <c r="R44" i="78"/>
  <c r="J45" i="78"/>
  <c r="F48" i="78"/>
  <c r="R49" i="78"/>
  <c r="F51" i="78"/>
  <c r="V51" i="78"/>
  <c r="R52" i="78"/>
  <c r="J53" i="78"/>
  <c r="F56" i="78"/>
  <c r="V59" i="78"/>
  <c r="V63" i="78"/>
  <c r="J67" i="78"/>
  <c r="F68" i="78"/>
  <c r="R69" i="78"/>
  <c r="F71" i="78"/>
  <c r="V71" i="78"/>
  <c r="R72" i="78"/>
  <c r="J73" i="78"/>
  <c r="V75" i="78"/>
  <c r="R79" i="78"/>
  <c r="J80" i="78"/>
  <c r="D82" i="78"/>
  <c r="R84" i="78"/>
  <c r="L12" i="79"/>
  <c r="P16" i="79"/>
  <c r="F18" i="79"/>
  <c r="J19" i="79"/>
  <c r="V21" i="79"/>
  <c r="R24" i="79"/>
  <c r="X18" i="81"/>
  <c r="N70" i="82"/>
  <c r="F16" i="83"/>
  <c r="F23" i="83"/>
  <c r="F44" i="83"/>
  <c r="F59" i="83"/>
  <c r="N18" i="85"/>
  <c r="V18" i="76"/>
  <c r="V30" i="76"/>
  <c r="V42" i="76"/>
  <c r="V50" i="76"/>
  <c r="V58" i="76"/>
  <c r="V78" i="76"/>
  <c r="V82" i="76"/>
  <c r="V16" i="77"/>
  <c r="V18" i="77"/>
  <c r="V24" i="77"/>
  <c r="Z12" i="78"/>
  <c r="R14" i="78"/>
  <c r="J16" i="78"/>
  <c r="J20" i="78"/>
  <c r="F21" i="78"/>
  <c r="V24" i="78"/>
  <c r="R25" i="78"/>
  <c r="J28" i="78"/>
  <c r="J32" i="78"/>
  <c r="F33" i="78"/>
  <c r="V36" i="78"/>
  <c r="R37" i="78"/>
  <c r="F40" i="78"/>
  <c r="V40" i="78"/>
  <c r="R41" i="78"/>
  <c r="J42" i="78"/>
  <c r="V44" i="78"/>
  <c r="J48" i="78"/>
  <c r="V52" i="78"/>
  <c r="J56" i="78"/>
  <c r="F57" i="78"/>
  <c r="F61" i="78"/>
  <c r="F65" i="78"/>
  <c r="R66" i="78"/>
  <c r="J68" i="78"/>
  <c r="V72" i="78"/>
  <c r="F77" i="78"/>
  <c r="D79" i="78"/>
  <c r="L79" i="78" s="1"/>
  <c r="F82" i="78"/>
  <c r="V82" i="78"/>
  <c r="V84" i="78"/>
  <c r="F89" i="78"/>
  <c r="V89" i="78"/>
  <c r="N12" i="79"/>
  <c r="J14" i="79"/>
  <c r="F20" i="79"/>
  <c r="F21" i="79"/>
  <c r="L30" i="79"/>
  <c r="F32" i="79"/>
  <c r="J35" i="82"/>
  <c r="J47" i="82"/>
  <c r="Z50" i="82"/>
  <c r="Z86" i="82"/>
  <c r="N89" i="82"/>
  <c r="L89" i="82"/>
  <c r="L12" i="83"/>
  <c r="N33" i="83"/>
  <c r="N51" i="83"/>
  <c r="F56" i="83"/>
  <c r="X18" i="85"/>
  <c r="V19" i="76"/>
  <c r="V31" i="76"/>
  <c r="V43" i="76"/>
  <c r="V47" i="76"/>
  <c r="V59" i="76"/>
  <c r="V79" i="76"/>
  <c r="V83" i="76"/>
  <c r="X12" i="77"/>
  <c r="X16" i="77"/>
  <c r="R21" i="77"/>
  <c r="R19" i="78"/>
  <c r="J21" i="78"/>
  <c r="F22" i="78"/>
  <c r="V25" i="78"/>
  <c r="R26" i="78"/>
  <c r="F29" i="78"/>
  <c r="V29" i="78"/>
  <c r="R30" i="78"/>
  <c r="J33" i="78"/>
  <c r="F34" i="78"/>
  <c r="V37" i="78"/>
  <c r="R38" i="78"/>
  <c r="V41" i="78"/>
  <c r="F46" i="78"/>
  <c r="R47" i="78"/>
  <c r="F49" i="78"/>
  <c r="V49" i="78"/>
  <c r="R50" i="78"/>
  <c r="J51" i="78"/>
  <c r="F54" i="78"/>
  <c r="R55" i="78"/>
  <c r="J57" i="78"/>
  <c r="F58" i="78"/>
  <c r="J61" i="78"/>
  <c r="F62" i="78"/>
  <c r="J65" i="78"/>
  <c r="F69" i="78"/>
  <c r="V69" i="78"/>
  <c r="R70" i="78"/>
  <c r="J71" i="78"/>
  <c r="F74" i="78"/>
  <c r="J77" i="78"/>
  <c r="F79" i="78"/>
  <c r="V79" i="78"/>
  <c r="R36" i="79"/>
  <c r="R30" i="79"/>
  <c r="R26" i="79"/>
  <c r="R23" i="79"/>
  <c r="R34" i="79"/>
  <c r="R28" i="79"/>
  <c r="R25" i="79"/>
  <c r="R20" i="79"/>
  <c r="R18" i="79"/>
  <c r="D32" i="79"/>
  <c r="T32" i="79"/>
  <c r="F16" i="80"/>
  <c r="F22" i="80"/>
  <c r="D16" i="80"/>
  <c r="F32" i="80"/>
  <c r="F26" i="80"/>
  <c r="F30" i="80"/>
  <c r="F24" i="80"/>
  <c r="F19" i="80"/>
  <c r="F18" i="80"/>
  <c r="L12" i="80"/>
  <c r="F35" i="80"/>
  <c r="F28" i="80"/>
  <c r="Z18" i="80"/>
  <c r="Z23" i="81"/>
  <c r="X23" i="81"/>
  <c r="J48" i="82"/>
  <c r="J77" i="82"/>
  <c r="X22" i="83"/>
  <c r="Z22" i="83" s="1"/>
  <c r="H28" i="85"/>
  <c r="N16" i="85"/>
  <c r="Z18" i="85"/>
  <c r="V26" i="86"/>
  <c r="V25" i="86"/>
  <c r="V40" i="86"/>
  <c r="V34" i="86"/>
  <c r="V28" i="86"/>
  <c r="V20" i="86"/>
  <c r="V18" i="86"/>
  <c r="V27" i="86"/>
  <c r="V29" i="86"/>
  <c r="V21" i="86"/>
  <c r="V31" i="86"/>
  <c r="T18" i="86"/>
  <c r="V16" i="86"/>
  <c r="V15" i="86"/>
  <c r="V32" i="86"/>
  <c r="V23" i="86"/>
  <c r="Z12" i="86"/>
  <c r="V36" i="86"/>
  <c r="V30" i="86"/>
  <c r="V38" i="86"/>
  <c r="V24" i="86"/>
  <c r="V43" i="86"/>
  <c r="V22" i="86"/>
  <c r="V20" i="76"/>
  <c r="V32" i="76"/>
  <c r="V36" i="76"/>
  <c r="V44" i="76"/>
  <c r="V48" i="76"/>
  <c r="V56" i="76"/>
  <c r="V72" i="76"/>
  <c r="V80" i="76"/>
  <c r="V88" i="76"/>
  <c r="V92" i="76"/>
  <c r="R26" i="77"/>
  <c r="V14" i="78"/>
  <c r="J22" i="78"/>
  <c r="F23" i="78"/>
  <c r="V26" i="78"/>
  <c r="R27" i="78"/>
  <c r="V30" i="78"/>
  <c r="R31" i="78"/>
  <c r="J34" i="78"/>
  <c r="F35" i="78"/>
  <c r="V38" i="78"/>
  <c r="R39" i="78"/>
  <c r="J40" i="78"/>
  <c r="F43" i="78"/>
  <c r="J46" i="78"/>
  <c r="V50" i="78"/>
  <c r="J54" i="78"/>
  <c r="J58" i="78"/>
  <c r="F59" i="78"/>
  <c r="R60" i="78"/>
  <c r="J62" i="78"/>
  <c r="F63" i="78"/>
  <c r="R64" i="78"/>
  <c r="F66" i="78"/>
  <c r="V66" i="78"/>
  <c r="R67" i="78"/>
  <c r="J74" i="78"/>
  <c r="R76" i="78"/>
  <c r="J82" i="78"/>
  <c r="V26" i="79"/>
  <c r="V25" i="79"/>
  <c r="V27" i="79"/>
  <c r="V19" i="79"/>
  <c r="V36" i="79"/>
  <c r="V30" i="79"/>
  <c r="V24" i="79"/>
  <c r="F16" i="79"/>
  <c r="V16" i="79"/>
  <c r="J18" i="79"/>
  <c r="F22" i="79"/>
  <c r="L27" i="79"/>
  <c r="F28" i="79"/>
  <c r="J30" i="79"/>
  <c r="F39" i="79"/>
  <c r="J32" i="80"/>
  <c r="J26" i="80"/>
  <c r="J22" i="80"/>
  <c r="J18" i="80"/>
  <c r="J19" i="80"/>
  <c r="J30" i="80"/>
  <c r="J24" i="80"/>
  <c r="J14" i="80"/>
  <c r="N12" i="80"/>
  <c r="J21" i="80"/>
  <c r="J20" i="80"/>
  <c r="J16" i="80"/>
  <c r="X14" i="80"/>
  <c r="X19" i="80"/>
  <c r="Z19" i="80" s="1"/>
  <c r="J35" i="80"/>
  <c r="J39" i="82"/>
  <c r="J42" i="82"/>
  <c r="L57" i="82"/>
  <c r="N57" i="82" s="1"/>
  <c r="J95" i="82"/>
  <c r="J99" i="82"/>
  <c r="X20" i="83"/>
  <c r="Z20" i="83" s="1"/>
  <c r="P91" i="83"/>
  <c r="Z23" i="83"/>
  <c r="F28" i="83"/>
  <c r="X51" i="83"/>
  <c r="Z51" i="83" s="1"/>
  <c r="Z12" i="80"/>
  <c r="R14" i="80"/>
  <c r="V24" i="80"/>
  <c r="V28" i="80"/>
  <c r="V30" i="80"/>
  <c r="V35" i="80"/>
  <c r="N12" i="81"/>
  <c r="J14" i="81"/>
  <c r="J24" i="81"/>
  <c r="F26" i="81"/>
  <c r="J30" i="81"/>
  <c r="F32" i="81"/>
  <c r="V20" i="82"/>
  <c r="V32" i="82"/>
  <c r="V44" i="82"/>
  <c r="V48" i="82"/>
  <c r="V60" i="82"/>
  <c r="V68" i="82"/>
  <c r="V72" i="82"/>
  <c r="V76" i="82"/>
  <c r="V80" i="82"/>
  <c r="V92" i="82"/>
  <c r="V17" i="83"/>
  <c r="R18" i="83"/>
  <c r="R23" i="83"/>
  <c r="J25" i="83"/>
  <c r="V29" i="83"/>
  <c r="R30" i="83"/>
  <c r="V33" i="83"/>
  <c r="R34" i="83"/>
  <c r="J37" i="83"/>
  <c r="V41" i="83"/>
  <c r="R42" i="83"/>
  <c r="V45" i="83"/>
  <c r="J49" i="83"/>
  <c r="V51" i="83"/>
  <c r="V58" i="83"/>
  <c r="L61" i="83"/>
  <c r="N61" i="83" s="1"/>
  <c r="V66" i="83"/>
  <c r="X14" i="84"/>
  <c r="L28" i="84"/>
  <c r="V34" i="84"/>
  <c r="L41" i="84"/>
  <c r="F42" i="84"/>
  <c r="V49" i="84"/>
  <c r="X19" i="85"/>
  <c r="L14" i="90"/>
  <c r="N14" i="90" s="1"/>
  <c r="D12" i="90"/>
  <c r="V73" i="82"/>
  <c r="V81" i="82"/>
  <c r="V89" i="82"/>
  <c r="J86" i="83"/>
  <c r="J70" i="83"/>
  <c r="J62" i="83"/>
  <c r="J83" i="83"/>
  <c r="J77" i="83"/>
  <c r="J69" i="83"/>
  <c r="J55" i="83"/>
  <c r="J89" i="83"/>
  <c r="J80" i="83"/>
  <c r="J76" i="83"/>
  <c r="J66" i="83"/>
  <c r="J58" i="83"/>
  <c r="J52" i="83"/>
  <c r="J85" i="83"/>
  <c r="J79" i="83"/>
  <c r="J75" i="83"/>
  <c r="J61" i="83"/>
  <c r="J93" i="83"/>
  <c r="J73" i="83"/>
  <c r="J65" i="83"/>
  <c r="J57" i="83"/>
  <c r="J88" i="83"/>
  <c r="J84" i="83"/>
  <c r="J78" i="83"/>
  <c r="J72" i="83"/>
  <c r="J64" i="83"/>
  <c r="J60" i="83"/>
  <c r="J56" i="83"/>
  <c r="J16" i="83"/>
  <c r="J26" i="83"/>
  <c r="R31" i="83"/>
  <c r="V34" i="83"/>
  <c r="R35" i="83"/>
  <c r="J38" i="83"/>
  <c r="V42" i="83"/>
  <c r="R43" i="83"/>
  <c r="J44" i="83"/>
  <c r="R48" i="83"/>
  <c r="J50" i="83"/>
  <c r="R85" i="83"/>
  <c r="F46" i="84"/>
  <c r="F41" i="84"/>
  <c r="F38" i="84"/>
  <c r="F30" i="84"/>
  <c r="F26" i="84"/>
  <c r="D16" i="84"/>
  <c r="F37" i="84"/>
  <c r="F29" i="84"/>
  <c r="F25" i="84"/>
  <c r="F60" i="84"/>
  <c r="F53" i="84"/>
  <c r="F49" i="84"/>
  <c r="F43" i="84"/>
  <c r="F40" i="84"/>
  <c r="F36" i="84"/>
  <c r="F24" i="84"/>
  <c r="F19" i="84"/>
  <c r="F18" i="84"/>
  <c r="L12" i="84"/>
  <c r="F35" i="84"/>
  <c r="F23" i="84"/>
  <c r="F14" i="84"/>
  <c r="F33" i="84"/>
  <c r="F28" i="84"/>
  <c r="F21" i="84"/>
  <c r="F57" i="84"/>
  <c r="F44" i="84"/>
  <c r="F39" i="84"/>
  <c r="F32" i="84"/>
  <c r="F20" i="84"/>
  <c r="Z48" i="84"/>
  <c r="Z19" i="85"/>
  <c r="L21" i="85"/>
  <c r="J35" i="85"/>
  <c r="P16" i="80"/>
  <c r="R18" i="80"/>
  <c r="V19" i="80"/>
  <c r="R20" i="80"/>
  <c r="H16" i="81"/>
  <c r="F20" i="81"/>
  <c r="F23" i="81"/>
  <c r="V27" i="82"/>
  <c r="V35" i="82"/>
  <c r="V39" i="82"/>
  <c r="V47" i="82"/>
  <c r="V55" i="82"/>
  <c r="V63" i="82"/>
  <c r="V83" i="82"/>
  <c r="V87" i="82"/>
  <c r="V97" i="82"/>
  <c r="V99" i="82"/>
  <c r="N12" i="83"/>
  <c r="R20" i="83"/>
  <c r="V24" i="83"/>
  <c r="R25" i="83"/>
  <c r="J28" i="83"/>
  <c r="V32" i="83"/>
  <c r="V36" i="83"/>
  <c r="R37" i="83"/>
  <c r="J40" i="83"/>
  <c r="R46" i="83"/>
  <c r="V48" i="83"/>
  <c r="J51" i="83"/>
  <c r="L53" i="83"/>
  <c r="N53" i="83" s="1"/>
  <c r="J54" i="83"/>
  <c r="J59" i="83"/>
  <c r="F22" i="84"/>
  <c r="F50" i="84"/>
  <c r="N52" i="88"/>
  <c r="L52" i="88"/>
  <c r="X55" i="92"/>
  <c r="Z55" i="92" s="1"/>
  <c r="V32" i="80"/>
  <c r="V28" i="82"/>
  <c r="V36" i="82"/>
  <c r="V40" i="82"/>
  <c r="V52" i="82"/>
  <c r="V56" i="82"/>
  <c r="V64" i="82"/>
  <c r="V84" i="82"/>
  <c r="V88" i="82"/>
  <c r="V94" i="82"/>
  <c r="R79" i="83"/>
  <c r="R75" i="83"/>
  <c r="R68" i="83"/>
  <c r="R82" i="83"/>
  <c r="R74" i="83"/>
  <c r="R54" i="83"/>
  <c r="R51" i="83"/>
  <c r="R93" i="83"/>
  <c r="R88" i="83"/>
  <c r="R78" i="83"/>
  <c r="R73" i="83"/>
  <c r="R65" i="83"/>
  <c r="R57" i="83"/>
  <c r="R98" i="83"/>
  <c r="R91" i="83"/>
  <c r="R84" i="83"/>
  <c r="R81" i="83"/>
  <c r="R72" i="83"/>
  <c r="R64" i="83"/>
  <c r="R60" i="83"/>
  <c r="R56" i="83"/>
  <c r="R86" i="83"/>
  <c r="R83" i="83"/>
  <c r="R70" i="83"/>
  <c r="R62" i="83"/>
  <c r="R55" i="83"/>
  <c r="R89" i="83"/>
  <c r="R77" i="83"/>
  <c r="R69" i="83"/>
  <c r="R66" i="83"/>
  <c r="R58" i="83"/>
  <c r="J17" i="83"/>
  <c r="T91" i="83"/>
  <c r="V91" i="83" s="1"/>
  <c r="J23" i="83"/>
  <c r="V25" i="83"/>
  <c r="R26" i="83"/>
  <c r="J29" i="83"/>
  <c r="V37" i="83"/>
  <c r="R38" i="83"/>
  <c r="J41" i="83"/>
  <c r="J45" i="83"/>
  <c r="V49" i="83"/>
  <c r="R50" i="83"/>
  <c r="J53" i="83"/>
  <c r="X55" i="83"/>
  <c r="R76" i="83"/>
  <c r="V41" i="84"/>
  <c r="V33" i="84"/>
  <c r="V21" i="84"/>
  <c r="T16" i="84"/>
  <c r="V50" i="84"/>
  <c r="V44" i="84"/>
  <c r="V32" i="84"/>
  <c r="V20" i="84"/>
  <c r="V60" i="84"/>
  <c r="V55" i="84"/>
  <c r="V53" i="84"/>
  <c r="V43" i="84"/>
  <c r="V31" i="84"/>
  <c r="V27" i="84"/>
  <c r="V19" i="84"/>
  <c r="V46" i="84"/>
  <c r="V38" i="84"/>
  <c r="V30" i="84"/>
  <c r="V26" i="84"/>
  <c r="V14" i="84"/>
  <c r="V40" i="84"/>
  <c r="V36" i="84"/>
  <c r="V28" i="84"/>
  <c r="V24" i="84"/>
  <c r="Z12" i="84"/>
  <c r="V57" i="84"/>
  <c r="V51" i="84"/>
  <c r="V39" i="84"/>
  <c r="V35" i="84"/>
  <c r="V23" i="84"/>
  <c r="V16" i="84"/>
  <c r="V18" i="84"/>
  <c r="F31" i="84"/>
  <c r="F30" i="86"/>
  <c r="F25" i="86"/>
  <c r="F22" i="86"/>
  <c r="F34" i="86"/>
  <c r="F18" i="86"/>
  <c r="F38" i="86"/>
  <c r="F32" i="86"/>
  <c r="F27" i="86"/>
  <c r="F24" i="86"/>
  <c r="F29" i="86"/>
  <c r="F26" i="86"/>
  <c r="F21" i="86"/>
  <c r="F15" i="86"/>
  <c r="F28" i="86"/>
  <c r="F16" i="86"/>
  <c r="F31" i="86"/>
  <c r="F20" i="86"/>
  <c r="D18" i="86"/>
  <c r="T16" i="80"/>
  <c r="R23" i="80"/>
  <c r="J23" i="81"/>
  <c r="P12" i="82"/>
  <c r="V23" i="82"/>
  <c r="V25" i="82"/>
  <c r="V29" i="82"/>
  <c r="V41" i="82"/>
  <c r="V53" i="82"/>
  <c r="V61" i="82"/>
  <c r="V77" i="82"/>
  <c r="V85" i="82"/>
  <c r="V88" i="83"/>
  <c r="V82" i="83"/>
  <c r="V78" i="83"/>
  <c r="V74" i="83"/>
  <c r="V93" i="83"/>
  <c r="V81" i="83"/>
  <c r="V73" i="83"/>
  <c r="V65" i="83"/>
  <c r="V57" i="83"/>
  <c r="V53" i="83"/>
  <c r="V84" i="83"/>
  <c r="V72" i="83"/>
  <c r="V64" i="83"/>
  <c r="V60" i="83"/>
  <c r="V56" i="83"/>
  <c r="V83" i="83"/>
  <c r="V71" i="83"/>
  <c r="V67" i="83"/>
  <c r="V63" i="83"/>
  <c r="V59" i="83"/>
  <c r="V55" i="83"/>
  <c r="V89" i="83"/>
  <c r="V85" i="83"/>
  <c r="V77" i="83"/>
  <c r="V69" i="83"/>
  <c r="V61" i="83"/>
  <c r="V80" i="83"/>
  <c r="V76" i="83"/>
  <c r="V68" i="83"/>
  <c r="V52" i="83"/>
  <c r="R16" i="83"/>
  <c r="J18" i="83"/>
  <c r="V20" i="83"/>
  <c r="J22" i="83"/>
  <c r="V22" i="83"/>
  <c r="V26" i="83"/>
  <c r="R27" i="83"/>
  <c r="J30" i="83"/>
  <c r="J34" i="83"/>
  <c r="V38" i="83"/>
  <c r="R39" i="83"/>
  <c r="J42" i="83"/>
  <c r="R44" i="83"/>
  <c r="V46" i="83"/>
  <c r="R47" i="83"/>
  <c r="J48" i="83"/>
  <c r="V50" i="83"/>
  <c r="V54" i="83"/>
  <c r="Z55" i="83"/>
  <c r="R63" i="83"/>
  <c r="R67" i="83"/>
  <c r="V79" i="83"/>
  <c r="J82" i="83"/>
  <c r="L18" i="84"/>
  <c r="F34" i="84"/>
  <c r="V45" i="84"/>
  <c r="P60" i="87"/>
  <c r="X18" i="87"/>
  <c r="Z18" i="87" s="1"/>
  <c r="V16" i="80"/>
  <c r="R28" i="80"/>
  <c r="J28" i="81"/>
  <c r="V18" i="82"/>
  <c r="V30" i="82"/>
  <c r="V42" i="82"/>
  <c r="V50" i="82"/>
  <c r="V62" i="82"/>
  <c r="V70" i="82"/>
  <c r="X12" i="83"/>
  <c r="Z12" i="83" s="1"/>
  <c r="H20" i="83"/>
  <c r="V27" i="83"/>
  <c r="R28" i="83"/>
  <c r="J31" i="83"/>
  <c r="R33" i="83"/>
  <c r="J35" i="83"/>
  <c r="V39" i="83"/>
  <c r="R40" i="83"/>
  <c r="J43" i="83"/>
  <c r="V47" i="83"/>
  <c r="R52" i="83"/>
  <c r="R53" i="83"/>
  <c r="R59" i="83"/>
  <c r="V75" i="83"/>
  <c r="N78" i="83"/>
  <c r="Z83" i="83"/>
  <c r="L85" i="83"/>
  <c r="N85" i="83" s="1"/>
  <c r="V86" i="83"/>
  <c r="L89" i="83"/>
  <c r="D88" i="83"/>
  <c r="L88" i="83" s="1"/>
  <c r="F48" i="84"/>
  <c r="J32" i="85"/>
  <c r="J26" i="85"/>
  <c r="J22" i="85"/>
  <c r="J18" i="85"/>
  <c r="J19" i="85"/>
  <c r="J30" i="85"/>
  <c r="J24" i="85"/>
  <c r="J14" i="85"/>
  <c r="N12" i="85"/>
  <c r="J21" i="85"/>
  <c r="J23" i="85"/>
  <c r="J20" i="85"/>
  <c r="J16" i="85"/>
  <c r="J28" i="85"/>
  <c r="Z56" i="88"/>
  <c r="L81" i="83"/>
  <c r="X12" i="84"/>
  <c r="H16" i="84"/>
  <c r="R24" i="84"/>
  <c r="J27" i="84"/>
  <c r="J31" i="84"/>
  <c r="R36" i="84"/>
  <c r="R40" i="84"/>
  <c r="J41" i="84"/>
  <c r="R45" i="84"/>
  <c r="J50" i="84"/>
  <c r="J55" i="84"/>
  <c r="V24" i="85"/>
  <c r="F28" i="85"/>
  <c r="V28" i="85"/>
  <c r="V30" i="85"/>
  <c r="F35" i="85"/>
  <c r="V35" i="85"/>
  <c r="J43" i="86"/>
  <c r="N19" i="87"/>
  <c r="L16" i="89"/>
  <c r="D19" i="89"/>
  <c r="R14" i="84"/>
  <c r="J16" i="84"/>
  <c r="J20" i="84"/>
  <c r="R25" i="84"/>
  <c r="R29" i="84"/>
  <c r="J32" i="84"/>
  <c r="R37" i="84"/>
  <c r="J44" i="84"/>
  <c r="J48" i="84"/>
  <c r="R49" i="84"/>
  <c r="R19" i="85"/>
  <c r="F21" i="85"/>
  <c r="V21" i="85"/>
  <c r="R22" i="85"/>
  <c r="R31" i="86"/>
  <c r="R26" i="86"/>
  <c r="R23" i="86"/>
  <c r="R28" i="86"/>
  <c r="R25" i="86"/>
  <c r="R30" i="86"/>
  <c r="R27" i="86"/>
  <c r="R22" i="86"/>
  <c r="N20" i="86"/>
  <c r="L21" i="86"/>
  <c r="L23" i="86"/>
  <c r="N23" i="86" s="1"/>
  <c r="R24" i="86"/>
  <c r="J36" i="86"/>
  <c r="L19" i="87"/>
  <c r="N18" i="88"/>
  <c r="R53" i="88"/>
  <c r="X66" i="88"/>
  <c r="Z66" i="88" s="1"/>
  <c r="J22" i="84"/>
  <c r="R27" i="84"/>
  <c r="J28" i="84"/>
  <c r="R31" i="84"/>
  <c r="J34" i="84"/>
  <c r="J42" i="84"/>
  <c r="X49" i="84"/>
  <c r="Z49" i="84" s="1"/>
  <c r="J51" i="84"/>
  <c r="R55" i="84"/>
  <c r="L12" i="85"/>
  <c r="P16" i="85"/>
  <c r="F18" i="85"/>
  <c r="R18" i="85"/>
  <c r="F19" i="85"/>
  <c r="V19" i="85"/>
  <c r="R20" i="85"/>
  <c r="F24" i="85"/>
  <c r="F30" i="85"/>
  <c r="X12" i="86"/>
  <c r="R15" i="86"/>
  <c r="P18" i="86"/>
  <c r="R32" i="86"/>
  <c r="V54" i="87"/>
  <c r="V50" i="87"/>
  <c r="V46" i="87"/>
  <c r="V38" i="87"/>
  <c r="V30" i="87"/>
  <c r="V26" i="87"/>
  <c r="V14" i="87"/>
  <c r="V53" i="87"/>
  <c r="V41" i="87"/>
  <c r="V37" i="87"/>
  <c r="V29" i="87"/>
  <c r="V25" i="87"/>
  <c r="V67" i="87"/>
  <c r="V62" i="87"/>
  <c r="V60" i="87"/>
  <c r="V56" i="87"/>
  <c r="V40" i="87"/>
  <c r="V36" i="87"/>
  <c r="V24" i="87"/>
  <c r="Z12" i="87"/>
  <c r="V55" i="87"/>
  <c r="V43" i="87"/>
  <c r="V35" i="87"/>
  <c r="V23" i="87"/>
  <c r="V42" i="87"/>
  <c r="V34" i="87"/>
  <c r="V49" i="87"/>
  <c r="V45" i="87"/>
  <c r="V33" i="87"/>
  <c r="V21" i="87"/>
  <c r="T16" i="87"/>
  <c r="Z44" i="87"/>
  <c r="L46" i="92"/>
  <c r="N46" i="92"/>
  <c r="P16" i="84"/>
  <c r="R18" i="84"/>
  <c r="R20" i="84"/>
  <c r="J23" i="84"/>
  <c r="R32" i="84"/>
  <c r="J35" i="84"/>
  <c r="R41" i="84"/>
  <c r="R44" i="84"/>
  <c r="J45" i="84"/>
  <c r="R50" i="84"/>
  <c r="R16" i="85"/>
  <c r="V20" i="85"/>
  <c r="F26" i="85"/>
  <c r="V26" i="85"/>
  <c r="F32" i="85"/>
  <c r="V32" i="85"/>
  <c r="R16" i="86"/>
  <c r="R21" i="86"/>
  <c r="R34" i="86"/>
  <c r="N18" i="87"/>
  <c r="V18" i="87"/>
  <c r="V19" i="87"/>
  <c r="V22" i="87"/>
  <c r="V31" i="87"/>
  <c r="V44" i="87"/>
  <c r="N46" i="87"/>
  <c r="V48" i="87"/>
  <c r="X58" i="87"/>
  <c r="R27" i="88"/>
  <c r="N12" i="84"/>
  <c r="J14" i="84"/>
  <c r="R16" i="84"/>
  <c r="R21" i="84"/>
  <c r="J24" i="84"/>
  <c r="R33" i="84"/>
  <c r="J36" i="84"/>
  <c r="J40" i="84"/>
  <c r="R48" i="84"/>
  <c r="J49" i="84"/>
  <c r="D16" i="85"/>
  <c r="T16" i="85"/>
  <c r="F22" i="85"/>
  <c r="R23" i="85"/>
  <c r="R20" i="86"/>
  <c r="R29" i="86"/>
  <c r="L16" i="87"/>
  <c r="V52" i="87"/>
  <c r="R32" i="88"/>
  <c r="N37" i="88"/>
  <c r="L37" i="88"/>
  <c r="L58" i="88"/>
  <c r="R70" i="88"/>
  <c r="R82" i="88"/>
  <c r="J19" i="84"/>
  <c r="R22" i="84"/>
  <c r="J25" i="84"/>
  <c r="J29" i="84"/>
  <c r="R34" i="84"/>
  <c r="J37" i="84"/>
  <c r="R39" i="84"/>
  <c r="R42" i="84"/>
  <c r="J43" i="84"/>
  <c r="J53" i="84"/>
  <c r="V16" i="85"/>
  <c r="R28" i="85"/>
  <c r="J40" i="86"/>
  <c r="J34" i="86"/>
  <c r="J30" i="86"/>
  <c r="J22" i="86"/>
  <c r="J18" i="86"/>
  <c r="J27" i="86"/>
  <c r="H18" i="86"/>
  <c r="J38" i="86"/>
  <c r="J32" i="86"/>
  <c r="J24" i="86"/>
  <c r="J20" i="86"/>
  <c r="J16" i="86"/>
  <c r="J29" i="86"/>
  <c r="J21" i="86"/>
  <c r="J31" i="86"/>
  <c r="J23" i="86"/>
  <c r="Z20" i="86"/>
  <c r="V39" i="87"/>
  <c r="V47" i="87"/>
  <c r="L50" i="87"/>
  <c r="N50" i="87" s="1"/>
  <c r="V58" i="87"/>
  <c r="R80" i="88"/>
  <c r="R40" i="88"/>
  <c r="R36" i="88"/>
  <c r="R28" i="88"/>
  <c r="R93" i="88"/>
  <c r="R87" i="88"/>
  <c r="R84" i="88"/>
  <c r="R79" i="88"/>
  <c r="R63" i="88"/>
  <c r="R60" i="88"/>
  <c r="R55" i="88"/>
  <c r="R52" i="88"/>
  <c r="R78" i="88"/>
  <c r="R74" i="88"/>
  <c r="R46" i="88"/>
  <c r="R38" i="88"/>
  <c r="R34" i="88"/>
  <c r="R86" i="88"/>
  <c r="R77" i="88"/>
  <c r="R73" i="88"/>
  <c r="R69" i="88"/>
  <c r="R65" i="88"/>
  <c r="R62" i="88"/>
  <c r="R57" i="88"/>
  <c r="R54" i="88"/>
  <c r="R49" i="88"/>
  <c r="R45" i="88"/>
  <c r="R33" i="88"/>
  <c r="R26" i="88"/>
  <c r="R83" i="88"/>
  <c r="R71" i="88"/>
  <c r="R67" i="88"/>
  <c r="R64" i="88"/>
  <c r="R59" i="88"/>
  <c r="R56" i="88"/>
  <c r="R51" i="88"/>
  <c r="R48" i="88"/>
  <c r="R43" i="88"/>
  <c r="R31" i="88"/>
  <c r="R75" i="88"/>
  <c r="R66" i="88"/>
  <c r="R42" i="88"/>
  <c r="R41" i="88"/>
  <c r="R19" i="88"/>
  <c r="R76" i="88"/>
  <c r="R61" i="88"/>
  <c r="R50" i="88"/>
  <c r="R44" i="88"/>
  <c r="R37" i="88"/>
  <c r="R35" i="88"/>
  <c r="R18" i="88"/>
  <c r="R30" i="88"/>
  <c r="R29" i="88"/>
  <c r="R23" i="88"/>
  <c r="R89" i="88"/>
  <c r="R85" i="88"/>
  <c r="R72" i="88"/>
  <c r="R68" i="88"/>
  <c r="R58" i="88"/>
  <c r="R39" i="88"/>
  <c r="P23" i="88"/>
  <c r="R21" i="88"/>
  <c r="N58" i="88"/>
  <c r="X70" i="88"/>
  <c r="Z70" i="88" s="1"/>
  <c r="J19" i="87"/>
  <c r="R22" i="87"/>
  <c r="J25" i="87"/>
  <c r="F26" i="87"/>
  <c r="F30" i="87"/>
  <c r="R34" i="87"/>
  <c r="J37" i="87"/>
  <c r="F38" i="87"/>
  <c r="J41" i="87"/>
  <c r="F54" i="87"/>
  <c r="R55" i="87"/>
  <c r="D12" i="88"/>
  <c r="V21" i="88"/>
  <c r="V25" i="88"/>
  <c r="V31" i="88"/>
  <c r="J35" i="88"/>
  <c r="V40" i="88"/>
  <c r="J44" i="88"/>
  <c r="J45" i="88"/>
  <c r="V46" i="88"/>
  <c r="Z48" i="88"/>
  <c r="L50" i="88"/>
  <c r="V60" i="88"/>
  <c r="V81" i="88"/>
  <c r="R43" i="87"/>
  <c r="F51" i="87"/>
  <c r="J54" i="87"/>
  <c r="J58" i="87"/>
  <c r="R60" i="87"/>
  <c r="J64" i="87"/>
  <c r="R67" i="87"/>
  <c r="J83" i="88"/>
  <c r="J71" i="88"/>
  <c r="J67" i="88"/>
  <c r="J59" i="88"/>
  <c r="J51" i="88"/>
  <c r="J43" i="88"/>
  <c r="J37" i="88"/>
  <c r="J31" i="88"/>
  <c r="J82" i="88"/>
  <c r="J64" i="88"/>
  <c r="J56" i="88"/>
  <c r="J89" i="88"/>
  <c r="J85" i="88"/>
  <c r="J81" i="88"/>
  <c r="J75" i="88"/>
  <c r="J61" i="88"/>
  <c r="J53" i="88"/>
  <c r="J41" i="88"/>
  <c r="J29" i="88"/>
  <c r="J80" i="88"/>
  <c r="J70" i="88"/>
  <c r="J66" i="88"/>
  <c r="J58" i="88"/>
  <c r="J50" i="88"/>
  <c r="J40" i="88"/>
  <c r="J36" i="88"/>
  <c r="J28" i="88"/>
  <c r="J84" i="88"/>
  <c r="J78" i="88"/>
  <c r="J74" i="88"/>
  <c r="J60" i="88"/>
  <c r="J52" i="88"/>
  <c r="J46" i="88"/>
  <c r="J38" i="88"/>
  <c r="J34" i="88"/>
  <c r="N50" i="88"/>
  <c r="J57" i="88"/>
  <c r="J63" i="88"/>
  <c r="J76" i="88"/>
  <c r="J77" i="88"/>
  <c r="J93" i="88"/>
  <c r="N34" i="94"/>
  <c r="L34" i="94"/>
  <c r="X12" i="87"/>
  <c r="H16" i="87"/>
  <c r="F20" i="87"/>
  <c r="R24" i="87"/>
  <c r="J27" i="87"/>
  <c r="F28" i="87"/>
  <c r="R29" i="87"/>
  <c r="J31" i="87"/>
  <c r="F32" i="87"/>
  <c r="R36" i="87"/>
  <c r="J39" i="87"/>
  <c r="J47" i="87"/>
  <c r="F48" i="87"/>
  <c r="J51" i="87"/>
  <c r="F52" i="87"/>
  <c r="R53" i="87"/>
  <c r="F55" i="87"/>
  <c r="R56" i="87"/>
  <c r="D60" i="87"/>
  <c r="R62" i="87"/>
  <c r="X16" i="88"/>
  <c r="J19" i="88"/>
  <c r="V26" i="88"/>
  <c r="V36" i="88"/>
  <c r="V38" i="88"/>
  <c r="J42" i="88"/>
  <c r="V52" i="88"/>
  <c r="Z64" i="88"/>
  <c r="L84" i="88"/>
  <c r="N84" i="88" s="1"/>
  <c r="V85" i="88"/>
  <c r="X16" i="89"/>
  <c r="X90" i="91"/>
  <c r="Z90" i="91"/>
  <c r="V90" i="91"/>
  <c r="R14" i="87"/>
  <c r="J16" i="87"/>
  <c r="J20" i="87"/>
  <c r="F21" i="87"/>
  <c r="R25" i="87"/>
  <c r="J28" i="87"/>
  <c r="J32" i="87"/>
  <c r="F33" i="87"/>
  <c r="R37" i="87"/>
  <c r="F40" i="87"/>
  <c r="R41" i="87"/>
  <c r="J42" i="87"/>
  <c r="F45" i="87"/>
  <c r="R46" i="87"/>
  <c r="J48" i="87"/>
  <c r="F49" i="87"/>
  <c r="R50" i="87"/>
  <c r="J52" i="87"/>
  <c r="F60" i="87"/>
  <c r="F67" i="87"/>
  <c r="J20" i="88"/>
  <c r="T23" i="88"/>
  <c r="J25" i="88"/>
  <c r="V29" i="88"/>
  <c r="J49" i="88"/>
  <c r="X58" i="88"/>
  <c r="Z58" i="88" s="1"/>
  <c r="J62" i="88"/>
  <c r="N66" i="88"/>
  <c r="V67" i="88"/>
  <c r="L70" i="88"/>
  <c r="J79" i="88"/>
  <c r="V80" i="88"/>
  <c r="V89" i="88"/>
  <c r="N56" i="90"/>
  <c r="R19" i="87"/>
  <c r="J21" i="87"/>
  <c r="F22" i="87"/>
  <c r="R26" i="87"/>
  <c r="F29" i="87"/>
  <c r="R30" i="87"/>
  <c r="J33" i="87"/>
  <c r="F34" i="87"/>
  <c r="R38" i="87"/>
  <c r="J45" i="87"/>
  <c r="J49" i="87"/>
  <c r="F53" i="87"/>
  <c r="R54" i="87"/>
  <c r="J55" i="87"/>
  <c r="J21" i="88"/>
  <c r="J32" i="88"/>
  <c r="J33" i="88"/>
  <c r="V34" i="88"/>
  <c r="V43" i="88"/>
  <c r="J47" i="88"/>
  <c r="J55" i="88"/>
  <c r="N70" i="88"/>
  <c r="V71" i="88"/>
  <c r="X14" i="89"/>
  <c r="P12" i="89"/>
  <c r="J22" i="87"/>
  <c r="F23" i="87"/>
  <c r="R27" i="87"/>
  <c r="R31" i="87"/>
  <c r="J34" i="87"/>
  <c r="F35" i="87"/>
  <c r="R39" i="87"/>
  <c r="J40" i="87"/>
  <c r="F43" i="87"/>
  <c r="R44" i="87"/>
  <c r="F46" i="87"/>
  <c r="R47" i="87"/>
  <c r="R51" i="87"/>
  <c r="R58" i="87"/>
  <c r="J60" i="87"/>
  <c r="V93" i="88"/>
  <c r="V87" i="88"/>
  <c r="V79" i="88"/>
  <c r="V63" i="88"/>
  <c r="V55" i="88"/>
  <c r="V47" i="88"/>
  <c r="V39" i="88"/>
  <c r="V35" i="88"/>
  <c r="V27" i="88"/>
  <c r="V86" i="88"/>
  <c r="V78" i="88"/>
  <c r="V74" i="88"/>
  <c r="V62" i="88"/>
  <c r="V54" i="88"/>
  <c r="V77" i="88"/>
  <c r="V73" i="88"/>
  <c r="V69" i="88"/>
  <c r="V65" i="88"/>
  <c r="V57" i="88"/>
  <c r="V49" i="88"/>
  <c r="V45" i="88"/>
  <c r="V37" i="88"/>
  <c r="V33" i="88"/>
  <c r="V76" i="88"/>
  <c r="V72" i="88"/>
  <c r="V68" i="88"/>
  <c r="V64" i="88"/>
  <c r="V56" i="88"/>
  <c r="V48" i="88"/>
  <c r="V44" i="88"/>
  <c r="V32" i="88"/>
  <c r="V82" i="88"/>
  <c r="V70" i="88"/>
  <c r="V66" i="88"/>
  <c r="V58" i="88"/>
  <c r="V50" i="88"/>
  <c r="V42" i="88"/>
  <c r="V30" i="88"/>
  <c r="V18" i="88"/>
  <c r="H23" i="88"/>
  <c r="X25" i="88"/>
  <c r="Z25" i="88" s="1"/>
  <c r="J27" i="88"/>
  <c r="J48" i="88"/>
  <c r="X50" i="88"/>
  <c r="Z50" i="88" s="1"/>
  <c r="J54" i="88"/>
  <c r="X56" i="88"/>
  <c r="L60" i="88"/>
  <c r="N60" i="88" s="1"/>
  <c r="V61" i="88"/>
  <c r="J65" i="88"/>
  <c r="V84" i="88"/>
  <c r="L25" i="90"/>
  <c r="N25" i="90" s="1"/>
  <c r="Z56" i="90"/>
  <c r="X56" i="90"/>
  <c r="F29" i="89"/>
  <c r="F26" i="89"/>
  <c r="F19" i="89"/>
  <c r="F31" i="89"/>
  <c r="F28" i="89"/>
  <c r="L12" i="89"/>
  <c r="F22" i="89"/>
  <c r="F21" i="89"/>
  <c r="F34" i="89"/>
  <c r="F16" i="89"/>
  <c r="H19" i="89"/>
  <c r="V79" i="90"/>
  <c r="V75" i="90"/>
  <c r="V71" i="90"/>
  <c r="V67" i="90"/>
  <c r="V91" i="90"/>
  <c r="V87" i="90"/>
  <c r="V83" i="90"/>
  <c r="V63" i="90"/>
  <c r="V78" i="90"/>
  <c r="V73" i="90"/>
  <c r="V72" i="90"/>
  <c r="V61" i="90"/>
  <c r="V53" i="90"/>
  <c r="V41" i="90"/>
  <c r="V29" i="90"/>
  <c r="V25" i="90"/>
  <c r="V95" i="90"/>
  <c r="V86" i="90"/>
  <c r="V77" i="90"/>
  <c r="V68" i="90"/>
  <c r="V60" i="90"/>
  <c r="V52" i="90"/>
  <c r="V40" i="90"/>
  <c r="V36" i="90"/>
  <c r="V28" i="90"/>
  <c r="T23" i="90"/>
  <c r="V88" i="90"/>
  <c r="V82" i="90"/>
  <c r="V81" i="90"/>
  <c r="V80" i="90"/>
  <c r="V76" i="90"/>
  <c r="V65" i="90"/>
  <c r="V64" i="90"/>
  <c r="V55" i="90"/>
  <c r="V47" i="90"/>
  <c r="V39" i="90"/>
  <c r="V35" i="90"/>
  <c r="V27" i="90"/>
  <c r="V89" i="90"/>
  <c r="V54" i="90"/>
  <c r="V46" i="90"/>
  <c r="V38" i="90"/>
  <c r="V34" i="90"/>
  <c r="V26" i="90"/>
  <c r="V56" i="90"/>
  <c r="V48" i="90"/>
  <c r="V44" i="90"/>
  <c r="V32" i="90"/>
  <c r="V20" i="90"/>
  <c r="V21" i="90"/>
  <c r="V31" i="90"/>
  <c r="V37" i="90"/>
  <c r="N48" i="90"/>
  <c r="V49" i="90"/>
  <c r="V25" i="91"/>
  <c r="Z25" i="91"/>
  <c r="V30" i="90"/>
  <c r="N60" i="90"/>
  <c r="L54" i="91"/>
  <c r="N54" i="91" s="1"/>
  <c r="J54" i="91"/>
  <c r="N20" i="92"/>
  <c r="V29" i="89"/>
  <c r="V21" i="89"/>
  <c r="V19" i="89"/>
  <c r="V43" i="89"/>
  <c r="V38" i="89"/>
  <c r="V36" i="89"/>
  <c r="V32" i="89"/>
  <c r="V31" i="89"/>
  <c r="V23" i="89"/>
  <c r="V26" i="89"/>
  <c r="V22" i="89"/>
  <c r="V40" i="89"/>
  <c r="V34" i="89"/>
  <c r="V28" i="89"/>
  <c r="V16" i="89"/>
  <c r="Z12" i="89"/>
  <c r="T19" i="89"/>
  <c r="X22" i="89"/>
  <c r="V27" i="89"/>
  <c r="L18" i="90"/>
  <c r="N18" i="90" s="1"/>
  <c r="V19" i="90"/>
  <c r="H23" i="90"/>
  <c r="V43" i="90"/>
  <c r="Z48" i="90"/>
  <c r="X54" i="90"/>
  <c r="N58" i="90"/>
  <c r="V62" i="90"/>
  <c r="V85" i="90"/>
  <c r="L88" i="90"/>
  <c r="N88" i="90"/>
  <c r="P12" i="91"/>
  <c r="X20" i="92"/>
  <c r="R20" i="92"/>
  <c r="V33" i="90"/>
  <c r="N52" i="90"/>
  <c r="Z54" i="90"/>
  <c r="V70" i="90"/>
  <c r="V74" i="90"/>
  <c r="L26" i="91"/>
  <c r="N26" i="91" s="1"/>
  <c r="L29" i="89"/>
  <c r="Z18" i="90"/>
  <c r="Z26" i="90"/>
  <c r="V42" i="90"/>
  <c r="N50" i="90"/>
  <c r="L56" i="90"/>
  <c r="V59" i="90"/>
  <c r="X69" i="90"/>
  <c r="Z69" i="90" s="1"/>
  <c r="V84" i="90"/>
  <c r="J26" i="91"/>
  <c r="J24" i="89"/>
  <c r="J32" i="89"/>
  <c r="J38" i="89"/>
  <c r="J18" i="90"/>
  <c r="J28" i="90"/>
  <c r="J36" i="90"/>
  <c r="J40" i="90"/>
  <c r="J50" i="90"/>
  <c r="J58" i="90"/>
  <c r="J65" i="90"/>
  <c r="J77" i="90"/>
  <c r="J80" i="90"/>
  <c r="X91" i="90"/>
  <c r="T92" i="91"/>
  <c r="V23" i="91"/>
  <c r="X19" i="92"/>
  <c r="Z19" i="92" s="1"/>
  <c r="R19" i="92"/>
  <c r="Z61" i="92"/>
  <c r="X61" i="92"/>
  <c r="J16" i="89"/>
  <c r="J30" i="89"/>
  <c r="J34" i="89"/>
  <c r="J40" i="89"/>
  <c r="J91" i="90"/>
  <c r="J87" i="90"/>
  <c r="J83" i="90"/>
  <c r="J69" i="90"/>
  <c r="J63" i="90"/>
  <c r="J95" i="90"/>
  <c r="J89" i="90"/>
  <c r="J79" i="90"/>
  <c r="J75" i="90"/>
  <c r="J71" i="90"/>
  <c r="J67" i="90"/>
  <c r="J30" i="90"/>
  <c r="J42" i="90"/>
  <c r="J48" i="90"/>
  <c r="J56" i="90"/>
  <c r="J72" i="90"/>
  <c r="J73" i="90"/>
  <c r="N18" i="91"/>
  <c r="J18" i="91"/>
  <c r="L25" i="91"/>
  <c r="N25" i="91" s="1"/>
  <c r="J25" i="89"/>
  <c r="J19" i="90"/>
  <c r="J31" i="90"/>
  <c r="J37" i="90"/>
  <c r="J43" i="90"/>
  <c r="J51" i="90"/>
  <c r="J59" i="90"/>
  <c r="J62" i="90"/>
  <c r="J70" i="90"/>
  <c r="J74" i="90"/>
  <c r="L76" i="90"/>
  <c r="N76" i="90" s="1"/>
  <c r="J26" i="90"/>
  <c r="J32" i="90"/>
  <c r="J44" i="90"/>
  <c r="J54" i="90"/>
  <c r="X66" i="90"/>
  <c r="Z66" i="90" s="1"/>
  <c r="P75" i="92"/>
  <c r="J17" i="89"/>
  <c r="J21" i="89"/>
  <c r="P12" i="90"/>
  <c r="J21" i="90"/>
  <c r="J25" i="90"/>
  <c r="J33" i="90"/>
  <c r="J45" i="90"/>
  <c r="J49" i="90"/>
  <c r="J57" i="90"/>
  <c r="Z18" i="91"/>
  <c r="N31" i="92"/>
  <c r="V86" i="91"/>
  <c r="V78" i="91"/>
  <c r="V74" i="91"/>
  <c r="V85" i="91"/>
  <c r="V77" i="91"/>
  <c r="V73" i="91"/>
  <c r="V69" i="91"/>
  <c r="V65" i="91"/>
  <c r="V57" i="91"/>
  <c r="V49" i="91"/>
  <c r="V45" i="91"/>
  <c r="V94" i="91"/>
  <c r="V92" i="91"/>
  <c r="V88" i="91"/>
  <c r="V76" i="91"/>
  <c r="V72" i="91"/>
  <c r="V68" i="91"/>
  <c r="V64" i="91"/>
  <c r="V56" i="91"/>
  <c r="V48" i="91"/>
  <c r="V87" i="91"/>
  <c r="V75" i="91"/>
  <c r="V71" i="91"/>
  <c r="V67" i="91"/>
  <c r="V59" i="91"/>
  <c r="V51" i="91"/>
  <c r="V43" i="91"/>
  <c r="V81" i="91"/>
  <c r="V61" i="91"/>
  <c r="V18" i="91"/>
  <c r="H23" i="91"/>
  <c r="V30" i="91"/>
  <c r="J34" i="91"/>
  <c r="J38" i="91"/>
  <c r="Z50" i="91"/>
  <c r="V53" i="91"/>
  <c r="J56" i="91"/>
  <c r="J59" i="91"/>
  <c r="J62" i="91"/>
  <c r="J64" i="91"/>
  <c r="J74" i="91"/>
  <c r="J78" i="91"/>
  <c r="V79" i="91"/>
  <c r="N83" i="91"/>
  <c r="J85" i="91"/>
  <c r="L19" i="92"/>
  <c r="N19" i="92" s="1"/>
  <c r="Z20" i="92"/>
  <c r="J30" i="92"/>
  <c r="J60" i="92"/>
  <c r="V66" i="91"/>
  <c r="Z75" i="91"/>
  <c r="V82" i="91"/>
  <c r="V84" i="91"/>
  <c r="L13" i="92"/>
  <c r="N13" i="92" s="1"/>
  <c r="D12" i="92"/>
  <c r="T17" i="92"/>
  <c r="Z15" i="92"/>
  <c r="V15" i="92"/>
  <c r="J22" i="92"/>
  <c r="Z31" i="92"/>
  <c r="J33" i="92"/>
  <c r="J44" i="92"/>
  <c r="D12" i="91"/>
  <c r="J29" i="91"/>
  <c r="V33" i="91"/>
  <c r="V37" i="91"/>
  <c r="J41" i="91"/>
  <c r="J42" i="91"/>
  <c r="J46" i="91"/>
  <c r="V54" i="91"/>
  <c r="V63" i="91"/>
  <c r="J88" i="91"/>
  <c r="J90" i="91"/>
  <c r="Z57" i="92"/>
  <c r="J82" i="91"/>
  <c r="J87" i="91"/>
  <c r="J81" i="91"/>
  <c r="J75" i="91"/>
  <c r="J61" i="91"/>
  <c r="J53" i="91"/>
  <c r="J84" i="91"/>
  <c r="J80" i="91"/>
  <c r="J70" i="91"/>
  <c r="J66" i="91"/>
  <c r="J58" i="91"/>
  <c r="J50" i="91"/>
  <c r="J79" i="91"/>
  <c r="J63" i="91"/>
  <c r="J55" i="91"/>
  <c r="J47" i="91"/>
  <c r="J83" i="91"/>
  <c r="J77" i="91"/>
  <c r="J73" i="91"/>
  <c r="J69" i="91"/>
  <c r="J65" i="91"/>
  <c r="V26" i="91"/>
  <c r="J30" i="91"/>
  <c r="V34" i="91"/>
  <c r="V38" i="91"/>
  <c r="J43" i="91"/>
  <c r="J44" i="91"/>
  <c r="J45" i="91"/>
  <c r="J48" i="91"/>
  <c r="J51" i="91"/>
  <c r="N52" i="91"/>
  <c r="Z58" i="91"/>
  <c r="V62" i="91"/>
  <c r="J67" i="91"/>
  <c r="J68" i="91"/>
  <c r="Z70" i="91"/>
  <c r="V83" i="91"/>
  <c r="J94" i="91"/>
  <c r="J67" i="92"/>
  <c r="J63" i="92"/>
  <c r="J51" i="92"/>
  <c r="J45" i="92"/>
  <c r="J69" i="92"/>
  <c r="J59" i="92"/>
  <c r="J53" i="92"/>
  <c r="J47" i="92"/>
  <c r="J77" i="92"/>
  <c r="J65" i="92"/>
  <c r="J55" i="92"/>
  <c r="J49" i="92"/>
  <c r="J72" i="92"/>
  <c r="J68" i="92"/>
  <c r="J70" i="92"/>
  <c r="J57" i="92"/>
  <c r="J40" i="92"/>
  <c r="J32" i="92"/>
  <c r="J28" i="92"/>
  <c r="H17" i="92"/>
  <c r="J58" i="92"/>
  <c r="J52" i="92"/>
  <c r="J50" i="92"/>
  <c r="J48" i="92"/>
  <c r="J43" i="92"/>
  <c r="J39" i="92"/>
  <c r="J27" i="92"/>
  <c r="J19" i="92"/>
  <c r="J73" i="92"/>
  <c r="J61" i="92"/>
  <c r="J56" i="92"/>
  <c r="J54" i="92"/>
  <c r="J38" i="92"/>
  <c r="J26" i="92"/>
  <c r="J20" i="92"/>
  <c r="J64" i="92"/>
  <c r="J62" i="92"/>
  <c r="J46" i="92"/>
  <c r="J37" i="92"/>
  <c r="J31" i="92"/>
  <c r="J25" i="92"/>
  <c r="J15" i="92"/>
  <c r="J66" i="92"/>
  <c r="J35" i="92"/>
  <c r="J23" i="92"/>
  <c r="J24" i="92"/>
  <c r="J36" i="92"/>
  <c r="N42" i="92"/>
  <c r="Z63" i="92"/>
  <c r="N69" i="92"/>
  <c r="L69" i="92"/>
  <c r="D18" i="93"/>
  <c r="L15" i="93"/>
  <c r="V27" i="92"/>
  <c r="R28" i="92"/>
  <c r="V31" i="92"/>
  <c r="R32" i="92"/>
  <c r="V39" i="92"/>
  <c r="R40" i="92"/>
  <c r="V43" i="92"/>
  <c r="R48" i="92"/>
  <c r="R49" i="92"/>
  <c r="Z51" i="92"/>
  <c r="Z53" i="92"/>
  <c r="V55" i="92"/>
  <c r="V70" i="92"/>
  <c r="V72" i="92"/>
  <c r="V34" i="94"/>
  <c r="V31" i="94"/>
  <c r="V27" i="94"/>
  <c r="X12" i="94"/>
  <c r="V24" i="94"/>
  <c r="V21" i="94"/>
  <c r="V18" i="94"/>
  <c r="V36" i="94"/>
  <c r="V33" i="94"/>
  <c r="V29" i="94"/>
  <c r="V25" i="94"/>
  <c r="T18" i="94"/>
  <c r="V15" i="94"/>
  <c r="V22" i="94"/>
  <c r="R17" i="92"/>
  <c r="V21" i="92"/>
  <c r="R22" i="92"/>
  <c r="V29" i="92"/>
  <c r="R30" i="92"/>
  <c r="V33" i="92"/>
  <c r="R34" i="92"/>
  <c r="V41" i="92"/>
  <c r="R44" i="92"/>
  <c r="V48" i="92"/>
  <c r="N61" i="92"/>
  <c r="V68" i="92"/>
  <c r="Z69" i="92"/>
  <c r="L73" i="92"/>
  <c r="N73" i="92" s="1"/>
  <c r="D72" i="92"/>
  <c r="L72" i="92" s="1"/>
  <c r="N72" i="92" s="1"/>
  <c r="V22" i="92"/>
  <c r="R23" i="92"/>
  <c r="V30" i="92"/>
  <c r="V34" i="92"/>
  <c r="R35" i="92"/>
  <c r="V66" i="92"/>
  <c r="R66" i="92"/>
  <c r="R62" i="92"/>
  <c r="R58" i="92"/>
  <c r="R55" i="92"/>
  <c r="R50" i="92"/>
  <c r="R75" i="92"/>
  <c r="R68" i="92"/>
  <c r="R64" i="92"/>
  <c r="R61" i="92"/>
  <c r="R57" i="92"/>
  <c r="R52" i="92"/>
  <c r="R70" i="92"/>
  <c r="R67" i="92"/>
  <c r="R63" i="92"/>
  <c r="R54" i="92"/>
  <c r="R51" i="92"/>
  <c r="R73" i="92"/>
  <c r="R69" i="92"/>
  <c r="V19" i="92"/>
  <c r="L20" i="92"/>
  <c r="V23" i="92"/>
  <c r="R24" i="92"/>
  <c r="V35" i="92"/>
  <c r="R36" i="92"/>
  <c r="N53" i="92"/>
  <c r="N55" i="92"/>
  <c r="N57" i="92"/>
  <c r="R60" i="92"/>
  <c r="R65" i="92"/>
  <c r="L12" i="93"/>
  <c r="J34" i="93"/>
  <c r="J31" i="93"/>
  <c r="J27" i="93"/>
  <c r="J21" i="93"/>
  <c r="J18" i="93"/>
  <c r="J36" i="93"/>
  <c r="J33" i="93"/>
  <c r="J29" i="93"/>
  <c r="J25" i="93"/>
  <c r="H18" i="93"/>
  <c r="J15" i="93"/>
  <c r="J22" i="93"/>
  <c r="V77" i="92"/>
  <c r="V65" i="92"/>
  <c r="V61" i="92"/>
  <c r="V57" i="92"/>
  <c r="V49" i="92"/>
  <c r="V67" i="92"/>
  <c r="V63" i="92"/>
  <c r="V51" i="92"/>
  <c r="V73" i="92"/>
  <c r="V69" i="92"/>
  <c r="V53" i="92"/>
  <c r="V45" i="92"/>
  <c r="V24" i="92"/>
  <c r="R25" i="92"/>
  <c r="V36" i="92"/>
  <c r="R37" i="92"/>
  <c r="R42" i="92"/>
  <c r="R46" i="92"/>
  <c r="R47" i="92"/>
  <c r="L53" i="92"/>
  <c r="R59" i="92"/>
  <c r="V60" i="92"/>
  <c r="V62" i="92"/>
  <c r="V64" i="92"/>
  <c r="X67" i="92"/>
  <c r="Z67" i="92" s="1"/>
  <c r="R77" i="92"/>
  <c r="X33" i="93"/>
  <c r="P18" i="94"/>
  <c r="X15" i="94"/>
  <c r="V34" i="95"/>
  <c r="V31" i="95"/>
  <c r="V27" i="95"/>
  <c r="X12" i="95"/>
  <c r="V24" i="95"/>
  <c r="V21" i="95"/>
  <c r="V18" i="95"/>
  <c r="V36" i="95"/>
  <c r="V33" i="95"/>
  <c r="V29" i="95"/>
  <c r="V25" i="95"/>
  <c r="T18" i="95"/>
  <c r="V15" i="95"/>
  <c r="V22" i="95"/>
  <c r="V20" i="95"/>
  <c r="V16" i="95"/>
  <c r="Z12" i="95"/>
  <c r="J16" i="94"/>
  <c r="J20" i="94"/>
  <c r="F16" i="95"/>
  <c r="F20" i="95"/>
  <c r="V21" i="93"/>
  <c r="R27" i="93"/>
  <c r="R31" i="93"/>
  <c r="R34" i="93"/>
  <c r="L12" i="94"/>
  <c r="P18" i="95"/>
  <c r="J27" i="95"/>
  <c r="J31" i="95"/>
  <c r="J34" i="95"/>
  <c r="R16" i="93"/>
  <c r="R20" i="93"/>
  <c r="V24" i="93"/>
  <c r="N12" i="94"/>
  <c r="J22" i="94"/>
  <c r="J16" i="95"/>
  <c r="J20" i="95"/>
  <c r="F22" i="95"/>
  <c r="X12" i="93"/>
  <c r="F27" i="93"/>
  <c r="V27" i="93"/>
  <c r="F31" i="93"/>
  <c r="V31" i="93"/>
  <c r="F34" i="93"/>
  <c r="V34" i="93"/>
  <c r="J15" i="94"/>
  <c r="H18" i="94"/>
  <c r="F21" i="94"/>
  <c r="J25" i="94"/>
  <c r="R27" i="94"/>
  <c r="J29" i="94"/>
  <c r="R31" i="94"/>
  <c r="J33" i="94"/>
  <c r="R34" i="94"/>
  <c r="J36" i="94"/>
  <c r="L12" i="95"/>
  <c r="F15" i="95"/>
  <c r="D18" i="95"/>
  <c r="R21" i="95"/>
  <c r="F25" i="95"/>
  <c r="F29" i="95"/>
  <c r="F33" i="95"/>
  <c r="F36" i="95"/>
  <c r="J18" i="94"/>
  <c r="R20" i="94"/>
  <c r="F24" i="94"/>
  <c r="N12" i="95"/>
  <c r="F18" i="95"/>
  <c r="J22" i="95"/>
  <c r="R24" i="95"/>
  <c r="R15" i="93"/>
  <c r="P18" i="93"/>
  <c r="R25" i="93"/>
  <c r="R29" i="93"/>
  <c r="R33" i="93"/>
  <c r="R36" i="93"/>
  <c r="J21" i="94"/>
  <c r="F27" i="94"/>
  <c r="F31" i="94"/>
  <c r="J15" i="95"/>
  <c r="H18" i="95"/>
  <c r="F21" i="95"/>
  <c r="J25" i="95"/>
  <c r="R27" i="95"/>
  <c r="J29" i="95"/>
  <c r="R31" i="95"/>
  <c r="J33" i="95"/>
  <c r="J36" i="95"/>
  <c r="F24" i="95"/>
  <c r="V15" i="93"/>
  <c r="T18" i="93"/>
  <c r="F25" i="93"/>
  <c r="V25" i="93"/>
  <c r="F29" i="93"/>
  <c r="V29" i="93"/>
  <c r="F33" i="93"/>
  <c r="V33" i="93"/>
  <c r="R25" i="94"/>
  <c r="J27" i="94"/>
  <c r="R29" i="94"/>
  <c r="J31" i="94"/>
  <c r="R33" i="94"/>
  <c r="F27" i="95"/>
  <c r="F31" i="95"/>
  <c r="Z18" i="47" l="1"/>
  <c r="L18" i="30"/>
  <c r="L18" i="94"/>
  <c r="H27" i="38"/>
  <c r="X18" i="29"/>
  <c r="Z18" i="8"/>
  <c r="Z18" i="50"/>
  <c r="N18" i="22"/>
  <c r="Z18" i="7"/>
  <c r="Z18" i="19"/>
  <c r="N18" i="19"/>
  <c r="N18" i="10"/>
  <c r="X18" i="16"/>
  <c r="L18" i="38"/>
  <c r="Z18" i="40"/>
  <c r="H27" i="53"/>
  <c r="X18" i="37"/>
  <c r="D27" i="38"/>
  <c r="D31" i="38" s="1"/>
  <c r="T27" i="38"/>
  <c r="X18" i="43"/>
  <c r="Z18" i="27"/>
  <c r="Z18" i="22"/>
  <c r="Z27" i="22"/>
  <c r="X18" i="20"/>
  <c r="L18" i="40"/>
  <c r="N18" i="40"/>
  <c r="X18" i="26"/>
  <c r="Z18" i="33"/>
  <c r="Z18" i="30"/>
  <c r="Z18" i="24"/>
  <c r="X18" i="27"/>
  <c r="D27" i="30"/>
  <c r="L18" i="41"/>
  <c r="H27" i="30"/>
  <c r="N18" i="30"/>
  <c r="D27" i="19"/>
  <c r="D31" i="19" s="1"/>
  <c r="D36" i="19" s="1"/>
  <c r="L18" i="19"/>
  <c r="T36" i="22"/>
  <c r="Z36" i="22" s="1"/>
  <c r="Z31" i="22"/>
  <c r="X18" i="47"/>
  <c r="X18" i="24"/>
  <c r="P27" i="22"/>
  <c r="X18" i="22"/>
  <c r="N18" i="33"/>
  <c r="H27" i="33"/>
  <c r="Z27" i="7"/>
  <c r="T31" i="7"/>
  <c r="H22" i="6"/>
  <c r="N16" i="6"/>
  <c r="H27" i="4"/>
  <c r="N18" i="4"/>
  <c r="T101" i="9"/>
  <c r="H27" i="5"/>
  <c r="N18" i="5"/>
  <c r="H93" i="90"/>
  <c r="J23" i="90"/>
  <c r="R95" i="82"/>
  <c r="R79" i="82"/>
  <c r="R71" i="82"/>
  <c r="R51" i="82"/>
  <c r="R48" i="82"/>
  <c r="R43" i="82"/>
  <c r="R31" i="82"/>
  <c r="R19" i="82"/>
  <c r="R91" i="82"/>
  <c r="R78" i="82"/>
  <c r="R75" i="82"/>
  <c r="R67" i="82"/>
  <c r="R62" i="82"/>
  <c r="R59" i="82"/>
  <c r="R42" i="82"/>
  <c r="R30" i="82"/>
  <c r="R85" i="82"/>
  <c r="R70" i="82"/>
  <c r="R53" i="82"/>
  <c r="R50" i="82"/>
  <c r="R41" i="82"/>
  <c r="R29" i="82"/>
  <c r="R18" i="82"/>
  <c r="R88" i="82"/>
  <c r="R84" i="82"/>
  <c r="R77" i="82"/>
  <c r="R64" i="82"/>
  <c r="R61" i="82"/>
  <c r="R56" i="82"/>
  <c r="R40" i="82"/>
  <c r="R36" i="82"/>
  <c r="R28" i="82"/>
  <c r="R90" i="82"/>
  <c r="R82" i="82"/>
  <c r="R74" i="82"/>
  <c r="R66" i="82"/>
  <c r="R63" i="82"/>
  <c r="R58" i="82"/>
  <c r="R46" i="82"/>
  <c r="R38" i="82"/>
  <c r="R34" i="82"/>
  <c r="R86" i="82"/>
  <c r="R81" i="82"/>
  <c r="R73" i="82"/>
  <c r="R69" i="82"/>
  <c r="R54" i="82"/>
  <c r="R49" i="82"/>
  <c r="R45" i="82"/>
  <c r="R33" i="82"/>
  <c r="R26" i="82"/>
  <c r="R21" i="82"/>
  <c r="R89" i="82"/>
  <c r="R44" i="82"/>
  <c r="R32" i="82"/>
  <c r="R25" i="82"/>
  <c r="P23" i="82"/>
  <c r="R23" i="82" s="1"/>
  <c r="R65" i="82"/>
  <c r="R60" i="82"/>
  <c r="R55" i="82"/>
  <c r="R37" i="82"/>
  <c r="R27" i="82"/>
  <c r="X12" i="82"/>
  <c r="Z12" i="82" s="1"/>
  <c r="R92" i="82"/>
  <c r="R87" i="82"/>
  <c r="R83" i="82"/>
  <c r="R52" i="82"/>
  <c r="R20" i="82"/>
  <c r="R99" i="82"/>
  <c r="R94" i="82"/>
  <c r="R80" i="82"/>
  <c r="R39" i="82"/>
  <c r="R35" i="82"/>
  <c r="R68" i="82"/>
  <c r="R47" i="82"/>
  <c r="R72" i="82"/>
  <c r="R76" i="82"/>
  <c r="R57" i="82"/>
  <c r="D26" i="77"/>
  <c r="L16" i="77"/>
  <c r="Z16" i="81"/>
  <c r="T28" i="81"/>
  <c r="L18" i="46"/>
  <c r="D27" i="46"/>
  <c r="P130" i="34"/>
  <c r="X42" i="34"/>
  <c r="Z42" i="34" s="1"/>
  <c r="T102" i="45"/>
  <c r="L18" i="23"/>
  <c r="D27" i="23"/>
  <c r="Z27" i="30"/>
  <c r="T31" i="30"/>
  <c r="H151" i="15"/>
  <c r="H27" i="17"/>
  <c r="N18" i="17"/>
  <c r="H27" i="16"/>
  <c r="N18" i="16"/>
  <c r="T75" i="92"/>
  <c r="H36" i="89"/>
  <c r="N19" i="89"/>
  <c r="T98" i="76"/>
  <c r="H25" i="72"/>
  <c r="J19" i="72"/>
  <c r="H26" i="77"/>
  <c r="N16" i="77"/>
  <c r="H32" i="75"/>
  <c r="J22" i="75"/>
  <c r="H77" i="58"/>
  <c r="N16" i="58"/>
  <c r="H106" i="62"/>
  <c r="T35" i="55"/>
  <c r="L18" i="49"/>
  <c r="D27" i="49"/>
  <c r="H27" i="43"/>
  <c r="N18" i="43"/>
  <c r="H22" i="54"/>
  <c r="N16" i="54"/>
  <c r="T61" i="61"/>
  <c r="H75" i="48"/>
  <c r="N27" i="53"/>
  <c r="H31" i="53"/>
  <c r="X25" i="45"/>
  <c r="Z25" i="45" s="1"/>
  <c r="J25" i="39"/>
  <c r="H118" i="39"/>
  <c r="D31" i="41"/>
  <c r="P27" i="38"/>
  <c r="X18" i="38"/>
  <c r="P118" i="39"/>
  <c r="X25" i="39"/>
  <c r="R25" i="39"/>
  <c r="Z18" i="52"/>
  <c r="T27" i="52"/>
  <c r="H27" i="35"/>
  <c r="N18" i="35"/>
  <c r="T27" i="32"/>
  <c r="X27" i="32" s="1"/>
  <c r="Z18" i="32"/>
  <c r="H93" i="25"/>
  <c r="N18" i="23"/>
  <c r="H27" i="23"/>
  <c r="H27" i="20"/>
  <c r="N18" i="20"/>
  <c r="H97" i="21"/>
  <c r="D36" i="27"/>
  <c r="F95" i="21"/>
  <c r="F82" i="21"/>
  <c r="F78" i="21"/>
  <c r="F74" i="21"/>
  <c r="F70" i="21"/>
  <c r="F65" i="21"/>
  <c r="F62" i="21"/>
  <c r="F46" i="21"/>
  <c r="F34" i="21"/>
  <c r="F22" i="21"/>
  <c r="F99" i="21"/>
  <c r="F93" i="21"/>
  <c r="F81" i="21"/>
  <c r="F77" i="21"/>
  <c r="F56" i="21"/>
  <c r="F53" i="21"/>
  <c r="F45" i="21"/>
  <c r="F33" i="21"/>
  <c r="F28" i="21"/>
  <c r="F27" i="21"/>
  <c r="F21" i="21"/>
  <c r="F87" i="21"/>
  <c r="F67" i="21"/>
  <c r="F64" i="21"/>
  <c r="F59" i="21"/>
  <c r="F44" i="21"/>
  <c r="F39" i="21"/>
  <c r="F32" i="21"/>
  <c r="F86" i="21"/>
  <c r="F73" i="21"/>
  <c r="F69" i="21"/>
  <c r="F66" i="21"/>
  <c r="F61" i="21"/>
  <c r="F58" i="21"/>
  <c r="F42" i="21"/>
  <c r="F38" i="21"/>
  <c r="F30" i="21"/>
  <c r="F92" i="21"/>
  <c r="F89" i="21"/>
  <c r="F85" i="21"/>
  <c r="F80" i="21"/>
  <c r="F76" i="21"/>
  <c r="F57" i="21"/>
  <c r="F52" i="21"/>
  <c r="F49" i="21"/>
  <c r="F41" i="21"/>
  <c r="F37" i="21"/>
  <c r="F29" i="21"/>
  <c r="F20" i="21"/>
  <c r="F88" i="21"/>
  <c r="F84" i="21"/>
  <c r="F72" i="21"/>
  <c r="F68" i="21"/>
  <c r="F63" i="21"/>
  <c r="F60" i="21"/>
  <c r="F48" i="21"/>
  <c r="F40" i="21"/>
  <c r="F36" i="21"/>
  <c r="L12" i="21"/>
  <c r="N12" i="21" s="1"/>
  <c r="F83" i="21"/>
  <c r="F79" i="21"/>
  <c r="F75" i="21"/>
  <c r="F71" i="21"/>
  <c r="F51" i="21"/>
  <c r="F50" i="21"/>
  <c r="F43" i="21"/>
  <c r="F31" i="21"/>
  <c r="F47" i="21"/>
  <c r="F55" i="21"/>
  <c r="F35" i="21"/>
  <c r="F23" i="21"/>
  <c r="D25" i="21"/>
  <c r="F25" i="21" s="1"/>
  <c r="F54" i="21"/>
  <c r="F91" i="21"/>
  <c r="F90" i="21"/>
  <c r="T151" i="15"/>
  <c r="H159" i="18"/>
  <c r="J56" i="18"/>
  <c r="T27" i="17"/>
  <c r="X27" i="17" s="1"/>
  <c r="Z18" i="17"/>
  <c r="L18" i="16"/>
  <c r="D27" i="16"/>
  <c r="H27" i="13"/>
  <c r="N18" i="13"/>
  <c r="L18" i="17"/>
  <c r="D27" i="17"/>
  <c r="L18" i="10"/>
  <c r="D27" i="10"/>
  <c r="L64" i="3"/>
  <c r="D178" i="3"/>
  <c r="H75" i="92"/>
  <c r="H53" i="84"/>
  <c r="N16" i="84"/>
  <c r="T95" i="83"/>
  <c r="T27" i="95"/>
  <c r="Z18" i="95"/>
  <c r="F71" i="91"/>
  <c r="F67" i="91"/>
  <c r="F85" i="91"/>
  <c r="F82" i="91"/>
  <c r="F81" i="91"/>
  <c r="F64" i="91"/>
  <c r="F61" i="91"/>
  <c r="F56" i="91"/>
  <c r="F53" i="91"/>
  <c r="F48" i="91"/>
  <c r="F87" i="91"/>
  <c r="F84" i="91"/>
  <c r="F80" i="91"/>
  <c r="F75" i="91"/>
  <c r="F86" i="91"/>
  <c r="F78" i="91"/>
  <c r="F74" i="91"/>
  <c r="F76" i="91"/>
  <c r="F72" i="91"/>
  <c r="F54" i="91"/>
  <c r="F49" i="91"/>
  <c r="F31" i="91"/>
  <c r="F26" i="91"/>
  <c r="F25" i="91"/>
  <c r="F19" i="91"/>
  <c r="F94" i="91"/>
  <c r="F73" i="91"/>
  <c r="F68" i="91"/>
  <c r="F52" i="91"/>
  <c r="F51" i="91"/>
  <c r="F50" i="91"/>
  <c r="F45" i="91"/>
  <c r="F44" i="91"/>
  <c r="F43" i="91"/>
  <c r="F37" i="91"/>
  <c r="F30" i="91"/>
  <c r="F88" i="91"/>
  <c r="F77" i="91"/>
  <c r="F69" i="91"/>
  <c r="F47" i="91"/>
  <c r="F46" i="91"/>
  <c r="F42" i="91"/>
  <c r="F41" i="91"/>
  <c r="F29" i="91"/>
  <c r="F70" i="91"/>
  <c r="F63" i="91"/>
  <c r="F57" i="91"/>
  <c r="F39" i="91"/>
  <c r="F35" i="91"/>
  <c r="F27" i="91"/>
  <c r="F18" i="91"/>
  <c r="F83" i="91"/>
  <c r="F65" i="91"/>
  <c r="F60" i="91"/>
  <c r="F59" i="91"/>
  <c r="F58" i="91"/>
  <c r="F55" i="91"/>
  <c r="F38" i="91"/>
  <c r="F34" i="91"/>
  <c r="F23" i="91"/>
  <c r="F66" i="91"/>
  <c r="D23" i="91"/>
  <c r="F20" i="91"/>
  <c r="L12" i="91"/>
  <c r="N12" i="91" s="1"/>
  <c r="F90" i="91"/>
  <c r="F79" i="91"/>
  <c r="F40" i="91"/>
  <c r="F36" i="91"/>
  <c r="F33" i="91"/>
  <c r="F28" i="91"/>
  <c r="F32" i="91"/>
  <c r="F62" i="91"/>
  <c r="F21" i="91"/>
  <c r="F70" i="92"/>
  <c r="F61" i="92"/>
  <c r="F57" i="92"/>
  <c r="F54" i="92"/>
  <c r="F73" i="92"/>
  <c r="F67" i="92"/>
  <c r="F63" i="92"/>
  <c r="F60" i="92"/>
  <c r="F56" i="92"/>
  <c r="F51" i="92"/>
  <c r="F69" i="92"/>
  <c r="F66" i="92"/>
  <c r="F62" i="92"/>
  <c r="F58" i="92"/>
  <c r="F53" i="92"/>
  <c r="F50" i="92"/>
  <c r="F77" i="92"/>
  <c r="F49" i="92"/>
  <c r="F41" i="92"/>
  <c r="F33" i="92"/>
  <c r="F29" i="92"/>
  <c r="F21" i="92"/>
  <c r="F44" i="92"/>
  <c r="F40" i="92"/>
  <c r="F32" i="92"/>
  <c r="F28" i="92"/>
  <c r="F72" i="92"/>
  <c r="F59" i="92"/>
  <c r="F55" i="92"/>
  <c r="F52" i="92"/>
  <c r="F47" i="92"/>
  <c r="F43" i="92"/>
  <c r="F39" i="92"/>
  <c r="F27" i="92"/>
  <c r="D17" i="92"/>
  <c r="F48" i="92"/>
  <c r="F38" i="92"/>
  <c r="F26" i="92"/>
  <c r="L12" i="92"/>
  <c r="N12" i="92" s="1"/>
  <c r="F46" i="92"/>
  <c r="F45" i="92"/>
  <c r="F36" i="92"/>
  <c r="F31" i="92"/>
  <c r="F24" i="92"/>
  <c r="F15" i="92"/>
  <c r="F20" i="92"/>
  <c r="F42" i="92"/>
  <c r="F37" i="92"/>
  <c r="F19" i="92"/>
  <c r="F34" i="92"/>
  <c r="F64" i="92"/>
  <c r="F35" i="92"/>
  <c r="F30" i="92"/>
  <c r="F23" i="92"/>
  <c r="F25" i="92"/>
  <c r="F22" i="92"/>
  <c r="F68" i="92"/>
  <c r="F65" i="92"/>
  <c r="H92" i="91"/>
  <c r="J23" i="91"/>
  <c r="R80" i="90"/>
  <c r="R72" i="90"/>
  <c r="R68" i="90"/>
  <c r="R88" i="90"/>
  <c r="R91" i="90"/>
  <c r="R84" i="90"/>
  <c r="R69" i="90"/>
  <c r="R67" i="90"/>
  <c r="R66" i="90"/>
  <c r="R42" i="90"/>
  <c r="R30" i="90"/>
  <c r="R79" i="90"/>
  <c r="R78" i="90"/>
  <c r="R73" i="90"/>
  <c r="R61" i="90"/>
  <c r="R58" i="90"/>
  <c r="R53" i="90"/>
  <c r="R50" i="90"/>
  <c r="R41" i="90"/>
  <c r="R29" i="90"/>
  <c r="R18" i="90"/>
  <c r="R95" i="90"/>
  <c r="R77" i="90"/>
  <c r="R40" i="90"/>
  <c r="R36" i="90"/>
  <c r="R28" i="90"/>
  <c r="R23" i="90"/>
  <c r="R86" i="90"/>
  <c r="R83" i="90"/>
  <c r="R82" i="90"/>
  <c r="R81" i="90"/>
  <c r="R65" i="90"/>
  <c r="R60" i="90"/>
  <c r="R55" i="90"/>
  <c r="R52" i="90"/>
  <c r="R47" i="90"/>
  <c r="R39" i="90"/>
  <c r="R35" i="90"/>
  <c r="R27" i="90"/>
  <c r="R25" i="90"/>
  <c r="P23" i="90"/>
  <c r="R85" i="90"/>
  <c r="R57" i="90"/>
  <c r="R54" i="90"/>
  <c r="R49" i="90"/>
  <c r="R45" i="90"/>
  <c r="R33" i="90"/>
  <c r="R26" i="90"/>
  <c r="R21" i="90"/>
  <c r="R38" i="90"/>
  <c r="R89" i="90"/>
  <c r="R59" i="90"/>
  <c r="R46" i="90"/>
  <c r="R70" i="90"/>
  <c r="R74" i="90"/>
  <c r="R71" i="90"/>
  <c r="R48" i="90"/>
  <c r="R43" i="90"/>
  <c r="R34" i="90"/>
  <c r="R20" i="90"/>
  <c r="R19" i="90"/>
  <c r="R75" i="90"/>
  <c r="R63" i="90"/>
  <c r="R56" i="90"/>
  <c r="R87" i="90"/>
  <c r="R76" i="90"/>
  <c r="R44" i="90"/>
  <c r="R32" i="90"/>
  <c r="R51" i="90"/>
  <c r="R37" i="90"/>
  <c r="R62" i="90"/>
  <c r="R31" i="90"/>
  <c r="R64" i="90"/>
  <c r="X12" i="90"/>
  <c r="Z12" i="90" s="1"/>
  <c r="T96" i="91"/>
  <c r="F76" i="88"/>
  <c r="F72" i="88"/>
  <c r="F68" i="88"/>
  <c r="F44" i="88"/>
  <c r="F32" i="88"/>
  <c r="F86" i="88"/>
  <c r="F83" i="88"/>
  <c r="F71" i="88"/>
  <c r="F67" i="88"/>
  <c r="F62" i="88"/>
  <c r="F59" i="88"/>
  <c r="F54" i="88"/>
  <c r="F51" i="88"/>
  <c r="F82" i="88"/>
  <c r="F42" i="88"/>
  <c r="F37" i="88"/>
  <c r="F30" i="88"/>
  <c r="F85" i="88"/>
  <c r="F81" i="88"/>
  <c r="F64" i="88"/>
  <c r="F61" i="88"/>
  <c r="F56" i="88"/>
  <c r="F53" i="88"/>
  <c r="F48" i="88"/>
  <c r="F41" i="88"/>
  <c r="F29" i="88"/>
  <c r="F93" i="88"/>
  <c r="F87" i="88"/>
  <c r="F79" i="88"/>
  <c r="F70" i="88"/>
  <c r="F66" i="88"/>
  <c r="F63" i="88"/>
  <c r="F58" i="88"/>
  <c r="F55" i="88"/>
  <c r="F50" i="88"/>
  <c r="F47" i="88"/>
  <c r="F39" i="88"/>
  <c r="F35" i="88"/>
  <c r="F27" i="88"/>
  <c r="F89" i="88"/>
  <c r="F73" i="88"/>
  <c r="F69" i="88"/>
  <c r="F52" i="88"/>
  <c r="F46" i="88"/>
  <c r="F40" i="88"/>
  <c r="F31" i="88"/>
  <c r="F18" i="88"/>
  <c r="F65" i="88"/>
  <c r="F26" i="88"/>
  <c r="F23" i="88"/>
  <c r="F74" i="88"/>
  <c r="F60" i="88"/>
  <c r="F33" i="88"/>
  <c r="F28" i="88"/>
  <c r="D23" i="88"/>
  <c r="F21" i="88"/>
  <c r="F49" i="88"/>
  <c r="F34" i="88"/>
  <c r="F20" i="88"/>
  <c r="L12" i="88"/>
  <c r="N12" i="88" s="1"/>
  <c r="F75" i="88"/>
  <c r="F43" i="88"/>
  <c r="F25" i="88"/>
  <c r="F19" i="88"/>
  <c r="F84" i="88"/>
  <c r="F80" i="88"/>
  <c r="F77" i="88"/>
  <c r="F57" i="88"/>
  <c r="F45" i="88"/>
  <c r="F36" i="88"/>
  <c r="F78" i="88"/>
  <c r="F38" i="88"/>
  <c r="P91" i="88"/>
  <c r="X23" i="88"/>
  <c r="F84" i="90"/>
  <c r="F87" i="90"/>
  <c r="F91" i="90"/>
  <c r="F80" i="90"/>
  <c r="F72" i="90"/>
  <c r="F68" i="90"/>
  <c r="F88" i="90"/>
  <c r="F86" i="90"/>
  <c r="F85" i="90"/>
  <c r="F46" i="90"/>
  <c r="F38" i="90"/>
  <c r="F34" i="90"/>
  <c r="F76" i="90"/>
  <c r="F75" i="90"/>
  <c r="F64" i="90"/>
  <c r="F63" i="90"/>
  <c r="F60" i="90"/>
  <c r="F57" i="90"/>
  <c r="F52" i="90"/>
  <c r="F49" i="90"/>
  <c r="F45" i="90"/>
  <c r="F33" i="90"/>
  <c r="D23" i="90"/>
  <c r="F23" i="90" s="1"/>
  <c r="F21" i="90"/>
  <c r="F71" i="90"/>
  <c r="F44" i="90"/>
  <c r="F32" i="90"/>
  <c r="F20" i="90"/>
  <c r="L12" i="90"/>
  <c r="N12" i="90" s="1"/>
  <c r="F70" i="90"/>
  <c r="F67" i="90"/>
  <c r="F59" i="90"/>
  <c r="F54" i="90"/>
  <c r="F51" i="90"/>
  <c r="F43" i="90"/>
  <c r="F31" i="90"/>
  <c r="F26" i="90"/>
  <c r="F25" i="90"/>
  <c r="F19" i="90"/>
  <c r="F78" i="90"/>
  <c r="F61" i="90"/>
  <c r="F56" i="90"/>
  <c r="F53" i="90"/>
  <c r="F48" i="90"/>
  <c r="F41" i="90"/>
  <c r="F29" i="90"/>
  <c r="F82" i="90"/>
  <c r="F36" i="90"/>
  <c r="F83" i="90"/>
  <c r="F77" i="90"/>
  <c r="F65" i="90"/>
  <c r="F50" i="90"/>
  <c r="F69" i="90"/>
  <c r="F42" i="90"/>
  <c r="F37" i="90"/>
  <c r="F89" i="90"/>
  <c r="F58" i="90"/>
  <c r="F79" i="90"/>
  <c r="F47" i="90"/>
  <c r="F40" i="90"/>
  <c r="F30" i="90"/>
  <c r="F74" i="90"/>
  <c r="F66" i="90"/>
  <c r="F62" i="90"/>
  <c r="F81" i="90"/>
  <c r="F55" i="90"/>
  <c r="F35" i="90"/>
  <c r="F39" i="90"/>
  <c r="F27" i="90"/>
  <c r="F95" i="90"/>
  <c r="F73" i="90"/>
  <c r="F28" i="90"/>
  <c r="F18" i="90"/>
  <c r="P95" i="83"/>
  <c r="X91" i="83"/>
  <c r="Z91" i="83" s="1"/>
  <c r="H32" i="85"/>
  <c r="D28" i="80"/>
  <c r="L16" i="80"/>
  <c r="N16" i="78"/>
  <c r="H82" i="78"/>
  <c r="D91" i="83"/>
  <c r="L20" i="83"/>
  <c r="X16" i="81"/>
  <c r="P28" i="81"/>
  <c r="L23" i="82"/>
  <c r="D97" i="82"/>
  <c r="H77" i="71"/>
  <c r="J20" i="71"/>
  <c r="H36" i="79"/>
  <c r="R75" i="71"/>
  <c r="R68" i="71"/>
  <c r="R64" i="71"/>
  <c r="R60" i="71"/>
  <c r="R56" i="71"/>
  <c r="R53" i="71"/>
  <c r="R48" i="71"/>
  <c r="R45" i="71"/>
  <c r="R40" i="71"/>
  <c r="R28" i="71"/>
  <c r="X12" i="71"/>
  <c r="Z12" i="71" s="1"/>
  <c r="R71" i="71"/>
  <c r="R67" i="71"/>
  <c r="R63" i="71"/>
  <c r="R59" i="71"/>
  <c r="R39" i="71"/>
  <c r="R27" i="71"/>
  <c r="R16" i="71"/>
  <c r="R66" i="71"/>
  <c r="R62" i="71"/>
  <c r="R55" i="71"/>
  <c r="R50" i="71"/>
  <c r="R47" i="71"/>
  <c r="R38" i="71"/>
  <c r="R26" i="71"/>
  <c r="R65" i="71"/>
  <c r="R61" i="71"/>
  <c r="R52" i="71"/>
  <c r="R49" i="71"/>
  <c r="R44" i="71"/>
  <c r="R36" i="71"/>
  <c r="R32" i="71"/>
  <c r="R24" i="71"/>
  <c r="R22" i="71"/>
  <c r="P20" i="71"/>
  <c r="R72" i="71"/>
  <c r="R43" i="71"/>
  <c r="R35" i="71"/>
  <c r="R31" i="71"/>
  <c r="R51" i="71"/>
  <c r="R70" i="71"/>
  <c r="R34" i="71"/>
  <c r="R33" i="71"/>
  <c r="R25" i="71"/>
  <c r="R69" i="71"/>
  <c r="R46" i="71"/>
  <c r="R29" i="71"/>
  <c r="R17" i="71"/>
  <c r="R79" i="71"/>
  <c r="R41" i="71"/>
  <c r="R18" i="71"/>
  <c r="R73" i="71"/>
  <c r="R58" i="71"/>
  <c r="R42" i="71"/>
  <c r="R37" i="71"/>
  <c r="R23" i="71"/>
  <c r="R54" i="71"/>
  <c r="R57" i="71"/>
  <c r="R30" i="71"/>
  <c r="R92" i="74"/>
  <c r="R86" i="74"/>
  <c r="R66" i="74"/>
  <c r="R63" i="74"/>
  <c r="R58" i="74"/>
  <c r="R46" i="74"/>
  <c r="R38" i="74"/>
  <c r="R34" i="74"/>
  <c r="R82" i="74"/>
  <c r="R69" i="74"/>
  <c r="R57" i="74"/>
  <c r="R54" i="74"/>
  <c r="R49" i="74"/>
  <c r="R45" i="74"/>
  <c r="R33" i="74"/>
  <c r="R21" i="74"/>
  <c r="R78" i="74"/>
  <c r="R74" i="74"/>
  <c r="R67" i="74"/>
  <c r="R62" i="74"/>
  <c r="R59" i="74"/>
  <c r="R42" i="74"/>
  <c r="R30" i="74"/>
  <c r="R88" i="74"/>
  <c r="R81" i="74"/>
  <c r="R77" i="74"/>
  <c r="R70" i="74"/>
  <c r="R53" i="74"/>
  <c r="R50" i="74"/>
  <c r="R41" i="74"/>
  <c r="R29" i="74"/>
  <c r="R24" i="74"/>
  <c r="R18" i="74"/>
  <c r="R76" i="74"/>
  <c r="R73" i="74"/>
  <c r="R72" i="74"/>
  <c r="R71" i="74"/>
  <c r="R55" i="74"/>
  <c r="R51" i="74"/>
  <c r="R47" i="74"/>
  <c r="R40" i="74"/>
  <c r="R39" i="74"/>
  <c r="R37" i="74"/>
  <c r="R36" i="74"/>
  <c r="R35" i="74"/>
  <c r="R75" i="74"/>
  <c r="R61" i="74"/>
  <c r="R60" i="74"/>
  <c r="R32" i="74"/>
  <c r="R31" i="74"/>
  <c r="P24" i="74"/>
  <c r="R20" i="74"/>
  <c r="R19" i="74"/>
  <c r="X12" i="74"/>
  <c r="Z12" i="74" s="1"/>
  <c r="R65" i="74"/>
  <c r="R64" i="74"/>
  <c r="R44" i="74"/>
  <c r="R43" i="74"/>
  <c r="R28" i="74"/>
  <c r="R85" i="74"/>
  <c r="R84" i="74"/>
  <c r="R83" i="74"/>
  <c r="R79" i="74"/>
  <c r="R27" i="74"/>
  <c r="R26" i="74"/>
  <c r="R22" i="74"/>
  <c r="R48" i="74"/>
  <c r="R80" i="74"/>
  <c r="R68" i="74"/>
  <c r="R56" i="74"/>
  <c r="R52" i="74"/>
  <c r="P63" i="64"/>
  <c r="X16" i="61"/>
  <c r="P57" i="61"/>
  <c r="X16" i="55"/>
  <c r="P31" i="55"/>
  <c r="D102" i="62"/>
  <c r="L17" i="62"/>
  <c r="N18" i="44"/>
  <c r="H27" i="44"/>
  <c r="H27" i="50"/>
  <c r="L27" i="50" s="1"/>
  <c r="N18" i="50"/>
  <c r="D75" i="48"/>
  <c r="L17" i="48"/>
  <c r="N17" i="48" s="1"/>
  <c r="X18" i="41"/>
  <c r="P27" i="41"/>
  <c r="R76" i="51"/>
  <c r="R69" i="51"/>
  <c r="R66" i="51"/>
  <c r="R61" i="51"/>
  <c r="R58" i="51"/>
  <c r="R49" i="51"/>
  <c r="R37" i="51"/>
  <c r="R25" i="51"/>
  <c r="R78" i="51"/>
  <c r="R72" i="51"/>
  <c r="R48" i="51"/>
  <c r="R44" i="51"/>
  <c r="R36" i="51"/>
  <c r="R31" i="51"/>
  <c r="R24" i="51"/>
  <c r="R83" i="51"/>
  <c r="R71" i="51"/>
  <c r="R68" i="51"/>
  <c r="R63" i="51"/>
  <c r="R60" i="51"/>
  <c r="R55" i="51"/>
  <c r="R47" i="51"/>
  <c r="R43" i="51"/>
  <c r="R35" i="51"/>
  <c r="R33" i="51"/>
  <c r="P31" i="51"/>
  <c r="R23" i="51"/>
  <c r="R74" i="51"/>
  <c r="R54" i="51"/>
  <c r="R46" i="51"/>
  <c r="R42" i="51"/>
  <c r="R22" i="51"/>
  <c r="X12" i="51"/>
  <c r="Z12" i="51" s="1"/>
  <c r="R77" i="51"/>
  <c r="R70" i="51"/>
  <c r="R65" i="51"/>
  <c r="R62" i="51"/>
  <c r="R57" i="51"/>
  <c r="R53" i="51"/>
  <c r="R41" i="51"/>
  <c r="R34" i="51"/>
  <c r="R29" i="51"/>
  <c r="R21" i="51"/>
  <c r="R73" i="51"/>
  <c r="R52" i="51"/>
  <c r="R45" i="51"/>
  <c r="R40" i="51"/>
  <c r="R28" i="51"/>
  <c r="R20" i="51"/>
  <c r="R79" i="51"/>
  <c r="R67" i="51"/>
  <c r="R64" i="51"/>
  <c r="R59" i="51"/>
  <c r="R56" i="51"/>
  <c r="R51" i="51"/>
  <c r="R39" i="51"/>
  <c r="R27" i="51"/>
  <c r="R50" i="51"/>
  <c r="R19" i="51"/>
  <c r="R38" i="51"/>
  <c r="R26" i="51"/>
  <c r="H116" i="42"/>
  <c r="J24" i="42"/>
  <c r="T78" i="31"/>
  <c r="V23" i="31"/>
  <c r="D27" i="43"/>
  <c r="L18" i="43"/>
  <c r="H31" i="38"/>
  <c r="N27" i="38"/>
  <c r="H27" i="32"/>
  <c r="N18" i="32"/>
  <c r="R111" i="42"/>
  <c r="R104" i="42"/>
  <c r="R91" i="42"/>
  <c r="R87" i="42"/>
  <c r="R83" i="42"/>
  <c r="R79" i="42"/>
  <c r="R75" i="42"/>
  <c r="R107" i="42"/>
  <c r="R98" i="42"/>
  <c r="R90" i="42"/>
  <c r="R82" i="42"/>
  <c r="R74" i="42"/>
  <c r="R71" i="42"/>
  <c r="R113" i="42"/>
  <c r="R101" i="42"/>
  <c r="R97" i="42"/>
  <c r="R89" i="42"/>
  <c r="R86" i="42"/>
  <c r="R81" i="42"/>
  <c r="R78" i="42"/>
  <c r="R118" i="42"/>
  <c r="R100" i="42"/>
  <c r="R96" i="42"/>
  <c r="R110" i="42"/>
  <c r="R103" i="42"/>
  <c r="R95" i="42"/>
  <c r="R88" i="42"/>
  <c r="R80" i="42"/>
  <c r="R105" i="42"/>
  <c r="R102" i="42"/>
  <c r="R93" i="42"/>
  <c r="R114" i="42"/>
  <c r="R68" i="42"/>
  <c r="R65" i="42"/>
  <c r="R56" i="42"/>
  <c r="R53" i="42"/>
  <c r="R48" i="42"/>
  <c r="R40" i="42"/>
  <c r="R36" i="42"/>
  <c r="R28" i="42"/>
  <c r="R26" i="42"/>
  <c r="P24" i="42"/>
  <c r="R24" i="42" s="1"/>
  <c r="R76" i="42"/>
  <c r="R59" i="42"/>
  <c r="R47" i="42"/>
  <c r="R39" i="42"/>
  <c r="R35" i="42"/>
  <c r="R84" i="42"/>
  <c r="R72" i="42"/>
  <c r="R67" i="42"/>
  <c r="R55" i="42"/>
  <c r="R50" i="42"/>
  <c r="R46" i="42"/>
  <c r="R34" i="42"/>
  <c r="R27" i="42"/>
  <c r="R22" i="42"/>
  <c r="X12" i="42"/>
  <c r="Z12" i="42" s="1"/>
  <c r="R112" i="42"/>
  <c r="R77" i="42"/>
  <c r="R61" i="42"/>
  <c r="R58" i="42"/>
  <c r="R45" i="42"/>
  <c r="R38" i="42"/>
  <c r="R33" i="42"/>
  <c r="R21" i="42"/>
  <c r="R106" i="42"/>
  <c r="R85" i="42"/>
  <c r="R64" i="42"/>
  <c r="R52" i="42"/>
  <c r="R49" i="42"/>
  <c r="R44" i="42"/>
  <c r="R32" i="42"/>
  <c r="R20" i="42"/>
  <c r="R66" i="42"/>
  <c r="R54" i="42"/>
  <c r="R51" i="42"/>
  <c r="R42" i="42"/>
  <c r="R30" i="42"/>
  <c r="R19" i="42"/>
  <c r="R99" i="42"/>
  <c r="R70" i="42"/>
  <c r="R62" i="42"/>
  <c r="R57" i="42"/>
  <c r="R31" i="42"/>
  <c r="R94" i="42"/>
  <c r="R43" i="42"/>
  <c r="R92" i="42"/>
  <c r="R63" i="42"/>
  <c r="R37" i="42"/>
  <c r="R29" i="42"/>
  <c r="R108" i="42"/>
  <c r="R73" i="42"/>
  <c r="R41" i="42"/>
  <c r="R60" i="42"/>
  <c r="R69" i="42"/>
  <c r="X124" i="34"/>
  <c r="Z124" i="34" s="1"/>
  <c r="R124" i="34"/>
  <c r="H78" i="31"/>
  <c r="J23" i="31"/>
  <c r="R91" i="25"/>
  <c r="R85" i="25"/>
  <c r="R78" i="25"/>
  <c r="R65" i="25"/>
  <c r="R62" i="25"/>
  <c r="R57" i="25"/>
  <c r="R53" i="25"/>
  <c r="R41" i="25"/>
  <c r="R34" i="25"/>
  <c r="R29" i="25"/>
  <c r="R21" i="25"/>
  <c r="R88" i="25"/>
  <c r="R81" i="25"/>
  <c r="R68" i="25"/>
  <c r="R52" i="25"/>
  <c r="R45" i="25"/>
  <c r="R40" i="25"/>
  <c r="R28" i="25"/>
  <c r="R20" i="25"/>
  <c r="R84" i="25"/>
  <c r="R64" i="25"/>
  <c r="R59" i="25"/>
  <c r="R56" i="25"/>
  <c r="R51" i="25"/>
  <c r="R39" i="25"/>
  <c r="R27" i="25"/>
  <c r="R95" i="25"/>
  <c r="R77" i="25"/>
  <c r="R73" i="25"/>
  <c r="R61" i="25"/>
  <c r="R58" i="25"/>
  <c r="R49" i="25"/>
  <c r="R37" i="25"/>
  <c r="R25" i="25"/>
  <c r="R87" i="25"/>
  <c r="R80" i="25"/>
  <c r="R76" i="25"/>
  <c r="R72" i="25"/>
  <c r="R69" i="25"/>
  <c r="R48" i="25"/>
  <c r="R44" i="25"/>
  <c r="R36" i="25"/>
  <c r="R24" i="25"/>
  <c r="R89" i="25"/>
  <c r="R83" i="25"/>
  <c r="R79" i="25"/>
  <c r="R63" i="25"/>
  <c r="R60" i="25"/>
  <c r="R55" i="25"/>
  <c r="R47" i="25"/>
  <c r="R43" i="25"/>
  <c r="R35" i="25"/>
  <c r="R33" i="25"/>
  <c r="P31" i="25"/>
  <c r="R31" i="25" s="1"/>
  <c r="R23" i="25"/>
  <c r="R19" i="25"/>
  <c r="R67" i="25"/>
  <c r="R66" i="25"/>
  <c r="R50" i="25"/>
  <c r="R46" i="25"/>
  <c r="R42" i="25"/>
  <c r="X12" i="25"/>
  <c r="Z12" i="25" s="1"/>
  <c r="R82" i="25"/>
  <c r="R26" i="25"/>
  <c r="R75" i="25"/>
  <c r="R74" i="25"/>
  <c r="R90" i="25"/>
  <c r="R22" i="25"/>
  <c r="R71" i="25"/>
  <c r="R70" i="25"/>
  <c r="R38" i="25"/>
  <c r="R54" i="25"/>
  <c r="H27" i="24"/>
  <c r="N18" i="24"/>
  <c r="N18" i="26"/>
  <c r="H27" i="26"/>
  <c r="P31" i="32"/>
  <c r="L18" i="32"/>
  <c r="D27" i="32"/>
  <c r="Z27" i="19"/>
  <c r="T31" i="19"/>
  <c r="L18" i="13"/>
  <c r="D27" i="13"/>
  <c r="P27" i="13"/>
  <c r="X18" i="13"/>
  <c r="L18" i="5"/>
  <c r="D27" i="5"/>
  <c r="F64" i="3"/>
  <c r="F168" i="3"/>
  <c r="P53" i="84"/>
  <c r="X16" i="84"/>
  <c r="D90" i="74"/>
  <c r="L24" i="74"/>
  <c r="H27" i="52"/>
  <c r="N18" i="52"/>
  <c r="P31" i="54"/>
  <c r="T27" i="94"/>
  <c r="Z18" i="94"/>
  <c r="D31" i="94"/>
  <c r="D36" i="89"/>
  <c r="L19" i="89"/>
  <c r="P64" i="87"/>
  <c r="Z16" i="80"/>
  <c r="T28" i="80"/>
  <c r="P28" i="80"/>
  <c r="X16" i="80"/>
  <c r="D32" i="81"/>
  <c r="Z16" i="78"/>
  <c r="T82" i="78"/>
  <c r="L16" i="78"/>
  <c r="P30" i="77"/>
  <c r="X26" i="77"/>
  <c r="F23" i="82"/>
  <c r="P86" i="78"/>
  <c r="X82" i="78"/>
  <c r="Z16" i="77"/>
  <c r="T26" i="77"/>
  <c r="H89" i="73"/>
  <c r="T82" i="68"/>
  <c r="P102" i="62"/>
  <c r="X17" i="62"/>
  <c r="H78" i="68"/>
  <c r="J23" i="68"/>
  <c r="P68" i="59"/>
  <c r="X16" i="59"/>
  <c r="H57" i="61"/>
  <c r="N16" i="61"/>
  <c r="H75" i="56"/>
  <c r="N16" i="56"/>
  <c r="N16" i="60"/>
  <c r="H59" i="60"/>
  <c r="P68" i="57"/>
  <c r="X16" i="57"/>
  <c r="D66" i="60"/>
  <c r="H102" i="45"/>
  <c r="L18" i="52"/>
  <c r="D27" i="52"/>
  <c r="X27" i="47"/>
  <c r="P31" i="47"/>
  <c r="T124" i="36"/>
  <c r="T27" i="29"/>
  <c r="Z18" i="29"/>
  <c r="T27" i="41"/>
  <c r="Z18" i="41"/>
  <c r="R120" i="36"/>
  <c r="R114" i="36"/>
  <c r="R107" i="36"/>
  <c r="R102" i="36"/>
  <c r="R87" i="36"/>
  <c r="R66" i="36"/>
  <c r="R63" i="36"/>
  <c r="R46" i="36"/>
  <c r="R34" i="36"/>
  <c r="R113" i="36"/>
  <c r="R110" i="36"/>
  <c r="R101" i="36"/>
  <c r="R77" i="36"/>
  <c r="R74" i="36"/>
  <c r="R69" i="36"/>
  <c r="R57" i="36"/>
  <c r="R54" i="36"/>
  <c r="R45" i="36"/>
  <c r="R33" i="36"/>
  <c r="R22" i="36"/>
  <c r="R115" i="36"/>
  <c r="R106" i="36"/>
  <c r="R98" i="36"/>
  <c r="R94" i="36"/>
  <c r="R90" i="36"/>
  <c r="R86" i="36"/>
  <c r="R82" i="36"/>
  <c r="R67" i="36"/>
  <c r="R62" i="36"/>
  <c r="R50" i="36"/>
  <c r="R42" i="36"/>
  <c r="R38" i="36"/>
  <c r="R126" i="36"/>
  <c r="R108" i="36"/>
  <c r="R104" i="36"/>
  <c r="R93" i="36"/>
  <c r="R88" i="36"/>
  <c r="R85" i="36"/>
  <c r="R64" i="36"/>
  <c r="R61" i="36"/>
  <c r="R48" i="36"/>
  <c r="R41" i="36"/>
  <c r="R36" i="36"/>
  <c r="R24" i="36"/>
  <c r="R112" i="36"/>
  <c r="R111" i="36"/>
  <c r="R99" i="36"/>
  <c r="R92" i="36"/>
  <c r="R78" i="36"/>
  <c r="R49" i="36"/>
  <c r="R109" i="36"/>
  <c r="R100" i="36"/>
  <c r="R81" i="36"/>
  <c r="R79" i="36"/>
  <c r="R73" i="36"/>
  <c r="R70" i="36"/>
  <c r="R60" i="36"/>
  <c r="R59" i="36"/>
  <c r="R58" i="36"/>
  <c r="R53" i="36"/>
  <c r="P27" i="36"/>
  <c r="R27" i="36" s="1"/>
  <c r="R96" i="36"/>
  <c r="R71" i="36"/>
  <c r="R51" i="36"/>
  <c r="R23" i="36"/>
  <c r="R105" i="36"/>
  <c r="R89" i="36"/>
  <c r="R40" i="36"/>
  <c r="R39" i="36"/>
  <c r="R35" i="36"/>
  <c r="R122" i="36"/>
  <c r="R97" i="36"/>
  <c r="R95" i="36"/>
  <c r="R65" i="36"/>
  <c r="R47" i="36"/>
  <c r="R30" i="36"/>
  <c r="R121" i="36"/>
  <c r="R119" i="36"/>
  <c r="R116" i="36"/>
  <c r="R83" i="36"/>
  <c r="R31" i="36"/>
  <c r="R118" i="36"/>
  <c r="R84" i="36"/>
  <c r="R76" i="36"/>
  <c r="R32" i="36"/>
  <c r="R29" i="36"/>
  <c r="R25" i="36"/>
  <c r="R68" i="36"/>
  <c r="R44" i="36"/>
  <c r="R91" i="36"/>
  <c r="R75" i="36"/>
  <c r="X12" i="36"/>
  <c r="Z12" i="36" s="1"/>
  <c r="R72" i="36"/>
  <c r="R103" i="36"/>
  <c r="R55" i="36"/>
  <c r="R37" i="36"/>
  <c r="R80" i="36"/>
  <c r="R43" i="36"/>
  <c r="R56" i="36"/>
  <c r="R52" i="36"/>
  <c r="H27" i="41"/>
  <c r="N18" i="41"/>
  <c r="F119" i="36"/>
  <c r="F106" i="36"/>
  <c r="F98" i="36"/>
  <c r="F94" i="36"/>
  <c r="F90" i="36"/>
  <c r="F86" i="36"/>
  <c r="F82" i="36"/>
  <c r="F65" i="36"/>
  <c r="F62" i="36"/>
  <c r="F50" i="36"/>
  <c r="F42" i="36"/>
  <c r="F38" i="36"/>
  <c r="F27" i="36"/>
  <c r="F112" i="36"/>
  <c r="F109" i="36"/>
  <c r="F105" i="36"/>
  <c r="F97" i="36"/>
  <c r="F89" i="36"/>
  <c r="F81" i="36"/>
  <c r="F76" i="36"/>
  <c r="F73" i="36"/>
  <c r="F56" i="36"/>
  <c r="F53" i="36"/>
  <c r="F49" i="36"/>
  <c r="F37" i="36"/>
  <c r="D27" i="36"/>
  <c r="F25" i="36"/>
  <c r="F114" i="36"/>
  <c r="F102" i="36"/>
  <c r="F93" i="36"/>
  <c r="F85" i="36"/>
  <c r="F66" i="36"/>
  <c r="F61" i="36"/>
  <c r="F46" i="36"/>
  <c r="F41" i="36"/>
  <c r="F34" i="36"/>
  <c r="F116" i="36"/>
  <c r="F107" i="36"/>
  <c r="F100" i="36"/>
  <c r="F92" i="36"/>
  <c r="F87" i="36"/>
  <c r="F84" i="36"/>
  <c r="F68" i="36"/>
  <c r="F63" i="36"/>
  <c r="F60" i="36"/>
  <c r="F44" i="36"/>
  <c r="F40" i="36"/>
  <c r="F32" i="36"/>
  <c r="L12" i="36"/>
  <c r="N12" i="36" s="1"/>
  <c r="F122" i="36"/>
  <c r="F121" i="36"/>
  <c r="F120" i="36"/>
  <c r="F48" i="36"/>
  <c r="F47" i="36"/>
  <c r="F36" i="36"/>
  <c r="F30" i="36"/>
  <c r="F108" i="36"/>
  <c r="F91" i="36"/>
  <c r="F67" i="36"/>
  <c r="F43" i="36"/>
  <c r="F118" i="36"/>
  <c r="F103" i="36"/>
  <c r="F99" i="36"/>
  <c r="F77" i="36"/>
  <c r="F33" i="36"/>
  <c r="F111" i="36"/>
  <c r="F88" i="36"/>
  <c r="F79" i="36"/>
  <c r="F75" i="36"/>
  <c r="F69" i="36"/>
  <c r="F57" i="36"/>
  <c r="F55" i="36"/>
  <c r="F45" i="36"/>
  <c r="F126" i="36"/>
  <c r="F113" i="36"/>
  <c r="F110" i="36"/>
  <c r="F104" i="36"/>
  <c r="F80" i="36"/>
  <c r="F78" i="36"/>
  <c r="F74" i="36"/>
  <c r="F72" i="36"/>
  <c r="F71" i="36"/>
  <c r="F59" i="36"/>
  <c r="F54" i="36"/>
  <c r="F52" i="36"/>
  <c r="F29" i="36"/>
  <c r="F101" i="36"/>
  <c r="F70" i="36"/>
  <c r="F58" i="36"/>
  <c r="F51" i="36"/>
  <c r="F39" i="36"/>
  <c r="F23" i="36"/>
  <c r="F95" i="36"/>
  <c r="F64" i="36"/>
  <c r="F115" i="36"/>
  <c r="F83" i="36"/>
  <c r="F35" i="36"/>
  <c r="F24" i="36"/>
  <c r="F96" i="36"/>
  <c r="F31" i="36"/>
  <c r="F22" i="36"/>
  <c r="X18" i="32"/>
  <c r="T27" i="26"/>
  <c r="Z18" i="26"/>
  <c r="T31" i="27"/>
  <c r="Z27" i="27"/>
  <c r="J25" i="21"/>
  <c r="X18" i="19"/>
  <c r="P27" i="19"/>
  <c r="T101" i="21"/>
  <c r="T27" i="20"/>
  <c r="Z18" i="20"/>
  <c r="F95" i="25"/>
  <c r="F90" i="25"/>
  <c r="F84" i="25"/>
  <c r="F77" i="25"/>
  <c r="F73" i="25"/>
  <c r="F64" i="25"/>
  <c r="F61" i="25"/>
  <c r="F56" i="25"/>
  <c r="F49" i="25"/>
  <c r="F37" i="25"/>
  <c r="F25" i="25"/>
  <c r="F80" i="25"/>
  <c r="F76" i="25"/>
  <c r="F72" i="25"/>
  <c r="F67" i="25"/>
  <c r="F48" i="25"/>
  <c r="F44" i="25"/>
  <c r="F36" i="25"/>
  <c r="F24" i="25"/>
  <c r="F19" i="25"/>
  <c r="F83" i="25"/>
  <c r="F79" i="25"/>
  <c r="F63" i="25"/>
  <c r="F58" i="25"/>
  <c r="F55" i="25"/>
  <c r="F47" i="25"/>
  <c r="F43" i="25"/>
  <c r="F35" i="25"/>
  <c r="F23" i="25"/>
  <c r="F85" i="25"/>
  <c r="F65" i="25"/>
  <c r="F60" i="25"/>
  <c r="F57" i="25"/>
  <c r="F53" i="25"/>
  <c r="F41" i="25"/>
  <c r="D31" i="25"/>
  <c r="F29" i="25"/>
  <c r="F21" i="25"/>
  <c r="F91" i="25"/>
  <c r="F75" i="25"/>
  <c r="F71" i="25"/>
  <c r="F68" i="25"/>
  <c r="F52" i="25"/>
  <c r="F40" i="25"/>
  <c r="F28" i="25"/>
  <c r="F20" i="25"/>
  <c r="F88" i="25"/>
  <c r="F78" i="25"/>
  <c r="F62" i="25"/>
  <c r="F59" i="25"/>
  <c r="F51" i="25"/>
  <c r="F39" i="25"/>
  <c r="F34" i="25"/>
  <c r="F33" i="25"/>
  <c r="F27" i="25"/>
  <c r="F26" i="25"/>
  <c r="F89" i="25"/>
  <c r="F70" i="25"/>
  <c r="F69" i="25"/>
  <c r="F22" i="25"/>
  <c r="L12" i="25"/>
  <c r="N12" i="25" s="1"/>
  <c r="F66" i="25"/>
  <c r="F50" i="25"/>
  <c r="F46" i="25"/>
  <c r="F45" i="25"/>
  <c r="F42" i="25"/>
  <c r="F87" i="25"/>
  <c r="F54" i="25"/>
  <c r="F38" i="25"/>
  <c r="F82" i="25"/>
  <c r="F81" i="25"/>
  <c r="F74" i="25"/>
  <c r="F31" i="25"/>
  <c r="V50" i="15"/>
  <c r="R155" i="18"/>
  <c r="R150" i="18"/>
  <c r="R139" i="18"/>
  <c r="R135" i="18"/>
  <c r="R75" i="18"/>
  <c r="R152" i="18"/>
  <c r="R146" i="18"/>
  <c r="R142" i="18"/>
  <c r="R134" i="18"/>
  <c r="R126" i="18"/>
  <c r="R122" i="18"/>
  <c r="R110" i="18"/>
  <c r="R107" i="18"/>
  <c r="R98" i="18"/>
  <c r="R95" i="18"/>
  <c r="R86" i="18"/>
  <c r="R154" i="18"/>
  <c r="R148" i="18"/>
  <c r="R144" i="18"/>
  <c r="R141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156" i="18"/>
  <c r="R147" i="18"/>
  <c r="R143" i="18"/>
  <c r="R127" i="18"/>
  <c r="R123" i="18"/>
  <c r="R114" i="18"/>
  <c r="R111" i="18"/>
  <c r="R106" i="18"/>
  <c r="R99" i="18"/>
  <c r="R133" i="18"/>
  <c r="R121" i="18"/>
  <c r="R115" i="18"/>
  <c r="R77" i="18"/>
  <c r="R73" i="18"/>
  <c r="R71" i="18"/>
  <c r="R63" i="18"/>
  <c r="R51" i="18"/>
  <c r="R151" i="18"/>
  <c r="R140" i="18"/>
  <c r="R161" i="18"/>
  <c r="R153" i="18"/>
  <c r="R108" i="18"/>
  <c r="R131" i="18"/>
  <c r="R129" i="18"/>
  <c r="R119" i="18"/>
  <c r="R117" i="18"/>
  <c r="R157" i="18"/>
  <c r="R145" i="18"/>
  <c r="R138" i="18"/>
  <c r="R137" i="18"/>
  <c r="R136" i="18"/>
  <c r="R105" i="18"/>
  <c r="R82" i="18"/>
  <c r="R81" i="18"/>
  <c r="R74" i="18"/>
  <c r="R64" i="18"/>
  <c r="R96" i="18"/>
  <c r="R91" i="18"/>
  <c r="R76" i="18"/>
  <c r="P56" i="18"/>
  <c r="R42" i="18"/>
  <c r="R34" i="18"/>
  <c r="R26" i="18"/>
  <c r="X12" i="18"/>
  <c r="Z12" i="18" s="1"/>
  <c r="R113" i="18"/>
  <c r="R101" i="18"/>
  <c r="R94" i="18"/>
  <c r="R70" i="18"/>
  <c r="R54" i="18"/>
  <c r="R53" i="18"/>
  <c r="R41" i="18"/>
  <c r="R33" i="18"/>
  <c r="R25" i="18"/>
  <c r="R102" i="18"/>
  <c r="R58" i="18"/>
  <c r="R52" i="18"/>
  <c r="R50" i="18"/>
  <c r="R40" i="18"/>
  <c r="R32" i="18"/>
  <c r="R24" i="18"/>
  <c r="R83" i="18"/>
  <c r="R78" i="18"/>
  <c r="R49" i="18"/>
  <c r="R39" i="18"/>
  <c r="R31" i="18"/>
  <c r="R23" i="18"/>
  <c r="R103" i="18"/>
  <c r="R87" i="18"/>
  <c r="R84" i="18"/>
  <c r="R79" i="18"/>
  <c r="R69" i="18"/>
  <c r="R62" i="18"/>
  <c r="R48" i="18"/>
  <c r="R38" i="18"/>
  <c r="R30" i="18"/>
  <c r="R22" i="18"/>
  <c r="R61" i="18"/>
  <c r="R60" i="18"/>
  <c r="R47" i="18"/>
  <c r="R46" i="18"/>
  <c r="R45" i="18"/>
  <c r="R37" i="18"/>
  <c r="R29" i="18"/>
  <c r="R125" i="18"/>
  <c r="R118" i="18"/>
  <c r="R93" i="18"/>
  <c r="R89" i="18"/>
  <c r="R67" i="18"/>
  <c r="R56" i="18"/>
  <c r="R43" i="18"/>
  <c r="R35" i="18"/>
  <c r="R27" i="18"/>
  <c r="R130" i="18"/>
  <c r="R28" i="18"/>
  <c r="R21" i="18"/>
  <c r="R65" i="18"/>
  <c r="R66" i="18"/>
  <c r="R90" i="18"/>
  <c r="R59" i="18"/>
  <c r="R44" i="18"/>
  <c r="R36" i="18"/>
  <c r="P31" i="16"/>
  <c r="Z18" i="13"/>
  <c r="T27" i="13"/>
  <c r="T163" i="18"/>
  <c r="R134" i="15"/>
  <c r="R130" i="15"/>
  <c r="R107" i="15"/>
  <c r="R102" i="15"/>
  <c r="R99" i="15"/>
  <c r="R90" i="15"/>
  <c r="R87" i="15"/>
  <c r="R78" i="15"/>
  <c r="R75" i="15"/>
  <c r="R70" i="15"/>
  <c r="R58" i="15"/>
  <c r="R46" i="15"/>
  <c r="R38" i="15"/>
  <c r="R30" i="15"/>
  <c r="R22" i="15"/>
  <c r="R149" i="15"/>
  <c r="R144" i="15"/>
  <c r="R133" i="15"/>
  <c r="R129" i="15"/>
  <c r="R69" i="15"/>
  <c r="R57" i="15"/>
  <c r="R45" i="15"/>
  <c r="R37" i="15"/>
  <c r="R29" i="15"/>
  <c r="R146" i="15"/>
  <c r="R140" i="15"/>
  <c r="R136" i="15"/>
  <c r="R128" i="15"/>
  <c r="R120" i="15"/>
  <c r="R116" i="15"/>
  <c r="R104" i="15"/>
  <c r="R101" i="15"/>
  <c r="R92" i="15"/>
  <c r="R89" i="15"/>
  <c r="R80" i="15"/>
  <c r="R77" i="15"/>
  <c r="R68" i="15"/>
  <c r="R56" i="15"/>
  <c r="R44" i="15"/>
  <c r="R36" i="15"/>
  <c r="R28" i="15"/>
  <c r="R21" i="15"/>
  <c r="R139" i="15"/>
  <c r="R132" i="15"/>
  <c r="R127" i="15"/>
  <c r="R123" i="15"/>
  <c r="R119" i="15"/>
  <c r="R115" i="15"/>
  <c r="R111" i="15"/>
  <c r="R95" i="15"/>
  <c r="R83" i="15"/>
  <c r="R67" i="15"/>
  <c r="R63" i="15"/>
  <c r="R55" i="15"/>
  <c r="R43" i="15"/>
  <c r="R35" i="15"/>
  <c r="R27" i="15"/>
  <c r="R148" i="15"/>
  <c r="R142" i="15"/>
  <c r="R138" i="15"/>
  <c r="R135" i="15"/>
  <c r="R126" i="15"/>
  <c r="R122" i="15"/>
  <c r="R118" i="15"/>
  <c r="R114" i="15"/>
  <c r="R110" i="15"/>
  <c r="R106" i="15"/>
  <c r="R103" i="15"/>
  <c r="R98" i="15"/>
  <c r="R94" i="15"/>
  <c r="R91" i="15"/>
  <c r="R86" i="15"/>
  <c r="R82" i="15"/>
  <c r="R79" i="15"/>
  <c r="R74" i="15"/>
  <c r="R66" i="15"/>
  <c r="R62" i="15"/>
  <c r="R54" i="15"/>
  <c r="R52" i="15"/>
  <c r="P50" i="15"/>
  <c r="R42" i="15"/>
  <c r="R34" i="15"/>
  <c r="R26" i="15"/>
  <c r="X12" i="15"/>
  <c r="Z12" i="15" s="1"/>
  <c r="R153" i="15"/>
  <c r="R145" i="15"/>
  <c r="R125" i="15"/>
  <c r="R113" i="15"/>
  <c r="R109" i="15"/>
  <c r="R97" i="15"/>
  <c r="R85" i="15"/>
  <c r="R73" i="15"/>
  <c r="R65" i="15"/>
  <c r="R61" i="15"/>
  <c r="R41" i="15"/>
  <c r="R33" i="15"/>
  <c r="R25" i="15"/>
  <c r="R147" i="15"/>
  <c r="R131" i="15"/>
  <c r="R124" i="15"/>
  <c r="R112" i="15"/>
  <c r="R96" i="15"/>
  <c r="R84" i="15"/>
  <c r="R71" i="15"/>
  <c r="R64" i="15"/>
  <c r="R59" i="15"/>
  <c r="R47" i="15"/>
  <c r="R39" i="15"/>
  <c r="R31" i="15"/>
  <c r="R23" i="15"/>
  <c r="R137" i="15"/>
  <c r="R121" i="15"/>
  <c r="R108" i="15"/>
  <c r="R105" i="15"/>
  <c r="R40" i="15"/>
  <c r="R141" i="15"/>
  <c r="R100" i="15"/>
  <c r="R81" i="15"/>
  <c r="R93" i="15"/>
  <c r="R72" i="15"/>
  <c r="R117" i="15"/>
  <c r="R76" i="15"/>
  <c r="R60" i="15"/>
  <c r="R24" i="15"/>
  <c r="R88" i="15"/>
  <c r="R48" i="15"/>
  <c r="R32" i="15"/>
  <c r="R53" i="15"/>
  <c r="N27" i="14"/>
  <c r="H31" i="14"/>
  <c r="T27" i="5"/>
  <c r="X27" i="5" s="1"/>
  <c r="Z18" i="5"/>
  <c r="T178" i="3"/>
  <c r="P27" i="10"/>
  <c r="X18" i="10"/>
  <c r="P31" i="6"/>
  <c r="X18" i="11"/>
  <c r="P27" i="11"/>
  <c r="P31" i="5"/>
  <c r="X97" i="9"/>
  <c r="Z97" i="9" s="1"/>
  <c r="P101" i="9"/>
  <c r="N18" i="93"/>
  <c r="H27" i="93"/>
  <c r="D53" i="84"/>
  <c r="L16" i="84"/>
  <c r="H97" i="82"/>
  <c r="N23" i="82"/>
  <c r="H27" i="47"/>
  <c r="L27" i="47" s="1"/>
  <c r="N18" i="47"/>
  <c r="P31" i="43"/>
  <c r="H27" i="29"/>
  <c r="N18" i="29"/>
  <c r="Z16" i="87"/>
  <c r="T60" i="87"/>
  <c r="X60" i="87" s="1"/>
  <c r="P36" i="86"/>
  <c r="X18" i="86"/>
  <c r="X16" i="87"/>
  <c r="Z18" i="86"/>
  <c r="T36" i="86"/>
  <c r="T36" i="75"/>
  <c r="V32" i="75"/>
  <c r="X16" i="78"/>
  <c r="D25" i="72"/>
  <c r="L19" i="72"/>
  <c r="N19" i="72" s="1"/>
  <c r="H81" i="69"/>
  <c r="J31" i="69"/>
  <c r="F55" i="71"/>
  <c r="F52" i="71"/>
  <c r="F47" i="71"/>
  <c r="F44" i="71"/>
  <c r="F36" i="71"/>
  <c r="F32" i="71"/>
  <c r="F24" i="71"/>
  <c r="F70" i="71"/>
  <c r="F58" i="71"/>
  <c r="F43" i="71"/>
  <c r="F35" i="71"/>
  <c r="F31" i="71"/>
  <c r="F65" i="71"/>
  <c r="F61" i="71"/>
  <c r="F54" i="71"/>
  <c r="F49" i="71"/>
  <c r="F46" i="71"/>
  <c r="F42" i="71"/>
  <c r="F30" i="71"/>
  <c r="D20" i="71"/>
  <c r="F20" i="71" s="1"/>
  <c r="F18" i="71"/>
  <c r="F68" i="71"/>
  <c r="F64" i="71"/>
  <c r="F60" i="71"/>
  <c r="F56" i="71"/>
  <c r="F51" i="71"/>
  <c r="F48" i="71"/>
  <c r="F40" i="71"/>
  <c r="F28" i="71"/>
  <c r="F23" i="71"/>
  <c r="F22" i="71"/>
  <c r="L12" i="71"/>
  <c r="N12" i="71" s="1"/>
  <c r="F71" i="71"/>
  <c r="F67" i="71"/>
  <c r="F63" i="71"/>
  <c r="F59" i="71"/>
  <c r="F39" i="71"/>
  <c r="F34" i="71"/>
  <c r="F27" i="71"/>
  <c r="F79" i="71"/>
  <c r="F66" i="71"/>
  <c r="F41" i="71"/>
  <c r="F72" i="71"/>
  <c r="F62" i="71"/>
  <c r="F50" i="71"/>
  <c r="F73" i="71"/>
  <c r="F57" i="71"/>
  <c r="F38" i="71"/>
  <c r="F37" i="71"/>
  <c r="F75" i="71"/>
  <c r="F45" i="71"/>
  <c r="F25" i="71"/>
  <c r="F69" i="71"/>
  <c r="F53" i="71"/>
  <c r="F33" i="71"/>
  <c r="F29" i="71"/>
  <c r="F17" i="71"/>
  <c r="F16" i="71"/>
  <c r="F26" i="71"/>
  <c r="T117" i="67"/>
  <c r="H93" i="65"/>
  <c r="T87" i="63"/>
  <c r="D61" i="61"/>
  <c r="L57" i="61"/>
  <c r="T22" i="54"/>
  <c r="Z16" i="54"/>
  <c r="N16" i="57"/>
  <c r="H68" i="57"/>
  <c r="X18" i="49"/>
  <c r="P27" i="49"/>
  <c r="J17" i="48"/>
  <c r="P75" i="56"/>
  <c r="X16" i="56"/>
  <c r="F90" i="45"/>
  <c r="F82" i="45"/>
  <c r="F42" i="45"/>
  <c r="F38" i="45"/>
  <c r="F30" i="45"/>
  <c r="F96" i="45"/>
  <c r="F93" i="45"/>
  <c r="F89" i="45"/>
  <c r="F68" i="45"/>
  <c r="F65" i="45"/>
  <c r="F60" i="45"/>
  <c r="F57" i="45"/>
  <c r="F52" i="45"/>
  <c r="F49" i="45"/>
  <c r="F41" i="45"/>
  <c r="F37" i="45"/>
  <c r="F29" i="45"/>
  <c r="F20" i="45"/>
  <c r="F92" i="45"/>
  <c r="F88" i="45"/>
  <c r="F79" i="45"/>
  <c r="F48" i="45"/>
  <c r="F40" i="45"/>
  <c r="F36" i="45"/>
  <c r="L12" i="45"/>
  <c r="N12" i="45" s="1"/>
  <c r="F100" i="45"/>
  <c r="F95" i="45"/>
  <c r="F87" i="45"/>
  <c r="F74" i="45"/>
  <c r="F70" i="45"/>
  <c r="F67" i="45"/>
  <c r="F62" i="45"/>
  <c r="F59" i="45"/>
  <c r="F54" i="45"/>
  <c r="F51" i="45"/>
  <c r="F47" i="45"/>
  <c r="F35" i="45"/>
  <c r="D25" i="45"/>
  <c r="F25" i="45" s="1"/>
  <c r="F23" i="45"/>
  <c r="F104" i="45"/>
  <c r="F98" i="45"/>
  <c r="F86" i="45"/>
  <c r="F81" i="45"/>
  <c r="F78" i="45"/>
  <c r="F46" i="45"/>
  <c r="F34" i="45"/>
  <c r="F22" i="45"/>
  <c r="F97" i="45"/>
  <c r="F85" i="45"/>
  <c r="F77" i="45"/>
  <c r="F73" i="45"/>
  <c r="F69" i="45"/>
  <c r="F64" i="45"/>
  <c r="F61" i="45"/>
  <c r="F56" i="45"/>
  <c r="F53" i="45"/>
  <c r="F91" i="45"/>
  <c r="F84" i="45"/>
  <c r="F80" i="45"/>
  <c r="F76" i="45"/>
  <c r="F72" i="45"/>
  <c r="F44" i="45"/>
  <c r="F39" i="45"/>
  <c r="F32" i="45"/>
  <c r="F50" i="45"/>
  <c r="F43" i="45"/>
  <c r="F28" i="45"/>
  <c r="F27" i="45"/>
  <c r="F94" i="45"/>
  <c r="F66" i="45"/>
  <c r="F21" i="45"/>
  <c r="F83" i="45"/>
  <c r="F63" i="45"/>
  <c r="F33" i="45"/>
  <c r="F71" i="45"/>
  <c r="F58" i="45"/>
  <c r="F45" i="45"/>
  <c r="F31" i="45"/>
  <c r="F75" i="45"/>
  <c r="F55" i="45"/>
  <c r="T59" i="64"/>
  <c r="X59" i="64" s="1"/>
  <c r="Z22" i="64"/>
  <c r="H81" i="51"/>
  <c r="H27" i="46"/>
  <c r="N18" i="46"/>
  <c r="X18" i="35"/>
  <c r="P27" i="35"/>
  <c r="Z27" i="47"/>
  <c r="T31" i="47"/>
  <c r="T82" i="48"/>
  <c r="T118" i="39"/>
  <c r="Z25" i="39"/>
  <c r="V25" i="39"/>
  <c r="H130" i="34"/>
  <c r="J42" i="34"/>
  <c r="L18" i="29"/>
  <c r="D27" i="29"/>
  <c r="T134" i="34"/>
  <c r="H124" i="36"/>
  <c r="V25" i="45"/>
  <c r="R127" i="28"/>
  <c r="R105" i="28"/>
  <c r="R101" i="28"/>
  <c r="R90" i="28"/>
  <c r="R85" i="28"/>
  <c r="R82" i="28"/>
  <c r="R73" i="28"/>
  <c r="R70" i="28"/>
  <c r="R65" i="28"/>
  <c r="R61" i="28"/>
  <c r="R49" i="28"/>
  <c r="R119" i="28"/>
  <c r="R112" i="28"/>
  <c r="R109" i="28"/>
  <c r="R104" i="28"/>
  <c r="R97" i="28"/>
  <c r="R93" i="28"/>
  <c r="R60" i="28"/>
  <c r="R53" i="28"/>
  <c r="R121" i="28"/>
  <c r="R115" i="28"/>
  <c r="R100" i="28"/>
  <c r="R87" i="28"/>
  <c r="R114" i="28"/>
  <c r="R111" i="28"/>
  <c r="R103" i="28"/>
  <c r="R78" i="28"/>
  <c r="R123" i="28"/>
  <c r="R117" i="28"/>
  <c r="R89" i="28"/>
  <c r="R86" i="28"/>
  <c r="R81" i="28"/>
  <c r="R77" i="28"/>
  <c r="R74" i="28"/>
  <c r="R69" i="28"/>
  <c r="R66" i="28"/>
  <c r="R57" i="28"/>
  <c r="R120" i="28"/>
  <c r="R113" i="28"/>
  <c r="R108" i="28"/>
  <c r="R96" i="28"/>
  <c r="R92" i="28"/>
  <c r="R80" i="28"/>
  <c r="R56" i="28"/>
  <c r="R52" i="28"/>
  <c r="R44" i="28"/>
  <c r="R116" i="28"/>
  <c r="R107" i="28"/>
  <c r="R99" i="28"/>
  <c r="R95" i="28"/>
  <c r="R91" i="28"/>
  <c r="R88" i="28"/>
  <c r="R83" i="28"/>
  <c r="R76" i="28"/>
  <c r="R71" i="28"/>
  <c r="R68" i="28"/>
  <c r="R63" i="28"/>
  <c r="R55" i="28"/>
  <c r="R51" i="28"/>
  <c r="R43" i="28"/>
  <c r="R37" i="28"/>
  <c r="R29" i="28"/>
  <c r="R21" i="28"/>
  <c r="R67" i="28"/>
  <c r="R62" i="28"/>
  <c r="R36" i="28"/>
  <c r="R28" i="28"/>
  <c r="R20" i="28"/>
  <c r="R102" i="28"/>
  <c r="R72" i="28"/>
  <c r="R58" i="28"/>
  <c r="R54" i="28"/>
  <c r="R46" i="28"/>
  <c r="R45" i="28"/>
  <c r="R35" i="28"/>
  <c r="R27" i="28"/>
  <c r="R122" i="28"/>
  <c r="R84" i="28"/>
  <c r="R64" i="28"/>
  <c r="R48" i="28"/>
  <c r="R47" i="28"/>
  <c r="R40" i="28"/>
  <c r="R33" i="28"/>
  <c r="R25" i="28"/>
  <c r="R106" i="28"/>
  <c r="R42" i="28"/>
  <c r="P40" i="28"/>
  <c r="R32" i="28"/>
  <c r="R24" i="28"/>
  <c r="R110" i="28"/>
  <c r="R94" i="28"/>
  <c r="R31" i="28"/>
  <c r="R23" i="28"/>
  <c r="R79" i="28"/>
  <c r="R75" i="28"/>
  <c r="R30" i="28"/>
  <c r="X12" i="28"/>
  <c r="Z12" i="28" s="1"/>
  <c r="R26" i="28"/>
  <c r="R98" i="28"/>
  <c r="R38" i="28"/>
  <c r="R22" i="28"/>
  <c r="R59" i="28"/>
  <c r="R34" i="28"/>
  <c r="R50" i="28"/>
  <c r="R19" i="28"/>
  <c r="H27" i="27"/>
  <c r="N18" i="27"/>
  <c r="L18" i="27"/>
  <c r="P31" i="24"/>
  <c r="X27" i="24"/>
  <c r="L18" i="26"/>
  <c r="D27" i="26"/>
  <c r="P36" i="37"/>
  <c r="F75" i="31"/>
  <c r="J50" i="15"/>
  <c r="X18" i="8"/>
  <c r="P27" i="8"/>
  <c r="D101" i="9"/>
  <c r="T160" i="12"/>
  <c r="N16" i="9"/>
  <c r="H97" i="9"/>
  <c r="L97" i="9" s="1"/>
  <c r="X18" i="5"/>
  <c r="F85" i="65"/>
  <c r="F65" i="65"/>
  <c r="F60" i="65"/>
  <c r="F57" i="65"/>
  <c r="F53" i="65"/>
  <c r="F41" i="65"/>
  <c r="D31" i="65"/>
  <c r="F29" i="65"/>
  <c r="F21" i="65"/>
  <c r="F91" i="65"/>
  <c r="F75" i="65"/>
  <c r="F71" i="65"/>
  <c r="F68" i="65"/>
  <c r="F52" i="65"/>
  <c r="F40" i="65"/>
  <c r="F28" i="65"/>
  <c r="F20" i="65"/>
  <c r="F88" i="65"/>
  <c r="F78" i="65"/>
  <c r="F62" i="65"/>
  <c r="F59" i="65"/>
  <c r="F51" i="65"/>
  <c r="F39" i="65"/>
  <c r="F34" i="65"/>
  <c r="F33" i="65"/>
  <c r="F27" i="65"/>
  <c r="F81" i="65"/>
  <c r="F74" i="65"/>
  <c r="F70" i="65"/>
  <c r="F50" i="65"/>
  <c r="F45" i="65"/>
  <c r="F38" i="65"/>
  <c r="F26" i="65"/>
  <c r="F80" i="65"/>
  <c r="F76" i="65"/>
  <c r="F72" i="65"/>
  <c r="F67" i="65"/>
  <c r="F48" i="65"/>
  <c r="F44" i="65"/>
  <c r="F36" i="65"/>
  <c r="F24" i="65"/>
  <c r="F19" i="65"/>
  <c r="F83" i="65"/>
  <c r="F79" i="65"/>
  <c r="F63" i="65"/>
  <c r="F58" i="65"/>
  <c r="F55" i="65"/>
  <c r="F47" i="65"/>
  <c r="F43" i="65"/>
  <c r="F35" i="65"/>
  <c r="F23" i="65"/>
  <c r="F42" i="65"/>
  <c r="F25" i="65"/>
  <c r="L12" i="65"/>
  <c r="N12" i="65" s="1"/>
  <c r="F73" i="65"/>
  <c r="F22" i="65"/>
  <c r="F87" i="65"/>
  <c r="F84" i="65"/>
  <c r="F77" i="65"/>
  <c r="F54" i="65"/>
  <c r="F64" i="65"/>
  <c r="F89" i="65"/>
  <c r="F82" i="65"/>
  <c r="F49" i="65"/>
  <c r="F46" i="65"/>
  <c r="F95" i="65"/>
  <c r="F66" i="65"/>
  <c r="F61" i="65"/>
  <c r="F56" i="65"/>
  <c r="F69" i="65"/>
  <c r="F90" i="65"/>
  <c r="F37" i="65"/>
  <c r="D35" i="55"/>
  <c r="T27" i="93"/>
  <c r="Z18" i="93"/>
  <c r="L18" i="95"/>
  <c r="D27" i="95"/>
  <c r="H27" i="95"/>
  <c r="N18" i="95"/>
  <c r="J17" i="92"/>
  <c r="X75" i="92"/>
  <c r="P79" i="92"/>
  <c r="T36" i="89"/>
  <c r="Z19" i="89"/>
  <c r="T93" i="90"/>
  <c r="H91" i="88"/>
  <c r="J23" i="88"/>
  <c r="T91" i="88"/>
  <c r="V23" i="88"/>
  <c r="Z23" i="88"/>
  <c r="D64" i="87"/>
  <c r="L18" i="86"/>
  <c r="D36" i="86"/>
  <c r="T36" i="79"/>
  <c r="P32" i="79"/>
  <c r="X16" i="79"/>
  <c r="V94" i="76"/>
  <c r="R78" i="73"/>
  <c r="R50" i="73"/>
  <c r="R47" i="73"/>
  <c r="R38" i="73"/>
  <c r="R26" i="73"/>
  <c r="R79" i="73"/>
  <c r="R74" i="73"/>
  <c r="R70" i="73"/>
  <c r="R66" i="73"/>
  <c r="R51" i="73"/>
  <c r="R46" i="73"/>
  <c r="R42" i="73"/>
  <c r="R30" i="73"/>
  <c r="R18" i="73"/>
  <c r="R77" i="73"/>
  <c r="R76" i="73"/>
  <c r="R75" i="73"/>
  <c r="R69" i="73"/>
  <c r="R68" i="73"/>
  <c r="R48" i="73"/>
  <c r="R65" i="73"/>
  <c r="R64" i="73"/>
  <c r="R55" i="73"/>
  <c r="R33" i="73"/>
  <c r="R32" i="73"/>
  <c r="R31" i="73"/>
  <c r="R23" i="73"/>
  <c r="R71" i="73"/>
  <c r="R59" i="73"/>
  <c r="R54" i="73"/>
  <c r="R45" i="73"/>
  <c r="R83" i="73"/>
  <c r="R67" i="73"/>
  <c r="X12" i="73"/>
  <c r="Z12" i="73" s="1"/>
  <c r="R82" i="73"/>
  <c r="R62" i="73"/>
  <c r="R43" i="73"/>
  <c r="R39" i="73"/>
  <c r="R35" i="73"/>
  <c r="R25" i="73"/>
  <c r="R24" i="73"/>
  <c r="P21" i="73"/>
  <c r="R21" i="73" s="1"/>
  <c r="R17" i="73"/>
  <c r="R16" i="73"/>
  <c r="R57" i="73"/>
  <c r="R56" i="73"/>
  <c r="R49" i="73"/>
  <c r="R19" i="73"/>
  <c r="R28" i="73"/>
  <c r="R85" i="73"/>
  <c r="R73" i="73"/>
  <c r="R36" i="73"/>
  <c r="R80" i="73"/>
  <c r="R60" i="73"/>
  <c r="R52" i="73"/>
  <c r="R40" i="73"/>
  <c r="R37" i="73"/>
  <c r="R29" i="73"/>
  <c r="R87" i="73"/>
  <c r="R53" i="73"/>
  <c r="R44" i="73"/>
  <c r="R41" i="73"/>
  <c r="R27" i="73"/>
  <c r="R63" i="73"/>
  <c r="R34" i="73"/>
  <c r="R81" i="73"/>
  <c r="R91" i="73"/>
  <c r="R84" i="73"/>
  <c r="R61" i="73"/>
  <c r="R72" i="73"/>
  <c r="R58" i="73"/>
  <c r="T84" i="71"/>
  <c r="V81" i="71"/>
  <c r="V31" i="69"/>
  <c r="T81" i="69"/>
  <c r="H59" i="64"/>
  <c r="N22" i="64"/>
  <c r="R66" i="68"/>
  <c r="R61" i="68"/>
  <c r="R57" i="68"/>
  <c r="R45" i="68"/>
  <c r="R37" i="68"/>
  <c r="R33" i="68"/>
  <c r="R26" i="68"/>
  <c r="R21" i="68"/>
  <c r="R80" i="68"/>
  <c r="R75" i="68"/>
  <c r="R60" i="68"/>
  <c r="R53" i="68"/>
  <c r="R48" i="68"/>
  <c r="R44" i="68"/>
  <c r="R32" i="68"/>
  <c r="R20" i="68"/>
  <c r="R71" i="68"/>
  <c r="R63" i="68"/>
  <c r="R59" i="68"/>
  <c r="R56" i="68"/>
  <c r="R43" i="68"/>
  <c r="R36" i="68"/>
  <c r="R31" i="68"/>
  <c r="R70" i="68"/>
  <c r="R50" i="68"/>
  <c r="R47" i="68"/>
  <c r="R42" i="68"/>
  <c r="R30" i="68"/>
  <c r="R19" i="68"/>
  <c r="R76" i="68"/>
  <c r="R68" i="68"/>
  <c r="R52" i="68"/>
  <c r="R49" i="68"/>
  <c r="R40" i="68"/>
  <c r="R28" i="68"/>
  <c r="R72" i="68"/>
  <c r="R67" i="68"/>
  <c r="R64" i="68"/>
  <c r="R55" i="68"/>
  <c r="R39" i="68"/>
  <c r="R35" i="68"/>
  <c r="R27" i="68"/>
  <c r="R25" i="68"/>
  <c r="P23" i="68"/>
  <c r="R23" i="68" s="1"/>
  <c r="R62" i="68"/>
  <c r="R58" i="68"/>
  <c r="R46" i="68"/>
  <c r="R29" i="68"/>
  <c r="R54" i="68"/>
  <c r="R34" i="68"/>
  <c r="X12" i="68"/>
  <c r="Z12" i="68" s="1"/>
  <c r="R73" i="68"/>
  <c r="R69" i="68"/>
  <c r="R65" i="68"/>
  <c r="R41" i="68"/>
  <c r="R38" i="68"/>
  <c r="R51" i="68"/>
  <c r="F78" i="69"/>
  <c r="F76" i="69"/>
  <c r="F71" i="69"/>
  <c r="F66" i="69"/>
  <c r="F63" i="69"/>
  <c r="F58" i="69"/>
  <c r="F55" i="69"/>
  <c r="F47" i="69"/>
  <c r="F43" i="69"/>
  <c r="F35" i="69"/>
  <c r="F23" i="69"/>
  <c r="F74" i="69"/>
  <c r="F54" i="69"/>
  <c r="F46" i="69"/>
  <c r="F42" i="69"/>
  <c r="F22" i="69"/>
  <c r="L12" i="69"/>
  <c r="N12" i="69" s="1"/>
  <c r="F68" i="69"/>
  <c r="F65" i="69"/>
  <c r="F60" i="69"/>
  <c r="F57" i="69"/>
  <c r="F53" i="69"/>
  <c r="F41" i="69"/>
  <c r="D31" i="69"/>
  <c r="F31" i="69" s="1"/>
  <c r="F29" i="69"/>
  <c r="F21" i="69"/>
  <c r="F83" i="69"/>
  <c r="F77" i="69"/>
  <c r="F52" i="69"/>
  <c r="F40" i="69"/>
  <c r="F28" i="69"/>
  <c r="F20" i="69"/>
  <c r="F79" i="69"/>
  <c r="F73" i="69"/>
  <c r="F50" i="69"/>
  <c r="F45" i="69"/>
  <c r="F38" i="69"/>
  <c r="F26" i="69"/>
  <c r="F69" i="69"/>
  <c r="F64" i="69"/>
  <c r="F61" i="69"/>
  <c r="F56" i="69"/>
  <c r="F49" i="69"/>
  <c r="F37" i="69"/>
  <c r="F25" i="69"/>
  <c r="F67" i="69"/>
  <c r="F62" i="69"/>
  <c r="F34" i="69"/>
  <c r="F19" i="69"/>
  <c r="F36" i="69"/>
  <c r="F70" i="69"/>
  <c r="F72" i="69"/>
  <c r="F48" i="69"/>
  <c r="F33" i="69"/>
  <c r="F44" i="69"/>
  <c r="F59" i="69"/>
  <c r="F39" i="69"/>
  <c r="F27" i="69"/>
  <c r="F24" i="69"/>
  <c r="F51" i="69"/>
  <c r="T89" i="73"/>
  <c r="V21" i="73"/>
  <c r="J31" i="65"/>
  <c r="F96" i="67"/>
  <c r="F83" i="67"/>
  <c r="F80" i="67"/>
  <c r="F103" i="67"/>
  <c r="F109" i="67"/>
  <c r="F107" i="67"/>
  <c r="F85" i="67"/>
  <c r="F82" i="67"/>
  <c r="F105" i="67"/>
  <c r="F100" i="67"/>
  <c r="F92" i="67"/>
  <c r="F88" i="67"/>
  <c r="F108" i="67"/>
  <c r="F102" i="67"/>
  <c r="F99" i="67"/>
  <c r="F91" i="67"/>
  <c r="F87" i="67"/>
  <c r="F98" i="67"/>
  <c r="F94" i="67"/>
  <c r="F90" i="67"/>
  <c r="F86" i="67"/>
  <c r="F81" i="67"/>
  <c r="F101" i="67"/>
  <c r="F97" i="67"/>
  <c r="F78" i="67"/>
  <c r="F74" i="67"/>
  <c r="F71" i="67"/>
  <c r="F66" i="67"/>
  <c r="F63" i="67"/>
  <c r="F55" i="67"/>
  <c r="F51" i="67"/>
  <c r="F31" i="67"/>
  <c r="F23" i="67"/>
  <c r="F93" i="67"/>
  <c r="F89" i="67"/>
  <c r="F62" i="67"/>
  <c r="F54" i="67"/>
  <c r="F50" i="67"/>
  <c r="D40" i="67"/>
  <c r="F38" i="67"/>
  <c r="F30" i="67"/>
  <c r="F22" i="67"/>
  <c r="L12" i="67"/>
  <c r="N12" i="67" s="1"/>
  <c r="F110" i="67"/>
  <c r="F76" i="67"/>
  <c r="F73" i="67"/>
  <c r="F68" i="67"/>
  <c r="F65" i="67"/>
  <c r="F61" i="67"/>
  <c r="F49" i="67"/>
  <c r="F37" i="67"/>
  <c r="F29" i="67"/>
  <c r="F21" i="67"/>
  <c r="F115" i="67"/>
  <c r="F111" i="67"/>
  <c r="F104" i="67"/>
  <c r="F60" i="67"/>
  <c r="F48" i="67"/>
  <c r="F43" i="67"/>
  <c r="F42" i="67"/>
  <c r="F36" i="67"/>
  <c r="F28" i="67"/>
  <c r="F20" i="67"/>
  <c r="F58" i="67"/>
  <c r="F53" i="67"/>
  <c r="F46" i="67"/>
  <c r="F34" i="67"/>
  <c r="F26" i="67"/>
  <c r="F95" i="67"/>
  <c r="F84" i="67"/>
  <c r="F72" i="67"/>
  <c r="F69" i="67"/>
  <c r="F64" i="67"/>
  <c r="F57" i="67"/>
  <c r="F45" i="67"/>
  <c r="F33" i="67"/>
  <c r="F25" i="67"/>
  <c r="F19" i="67"/>
  <c r="F79" i="67"/>
  <c r="F24" i="67"/>
  <c r="F44" i="67"/>
  <c r="F75" i="67"/>
  <c r="F67" i="67"/>
  <c r="F35" i="67"/>
  <c r="F77" i="67"/>
  <c r="F47" i="67"/>
  <c r="F32" i="67"/>
  <c r="F70" i="67"/>
  <c r="F52" i="67"/>
  <c r="F59" i="67"/>
  <c r="F56" i="67"/>
  <c r="F27" i="67"/>
  <c r="F72" i="63"/>
  <c r="F60" i="63"/>
  <c r="F57" i="63"/>
  <c r="F49" i="63"/>
  <c r="F37" i="63"/>
  <c r="F75" i="63"/>
  <c r="F68" i="63"/>
  <c r="F63" i="63"/>
  <c r="F48" i="63"/>
  <c r="F43" i="63"/>
  <c r="F36" i="63"/>
  <c r="F82" i="63"/>
  <c r="F71" i="63"/>
  <c r="F59" i="63"/>
  <c r="F54" i="63"/>
  <c r="F47" i="63"/>
  <c r="F35" i="63"/>
  <c r="F77" i="63"/>
  <c r="F74" i="63"/>
  <c r="F70" i="63"/>
  <c r="F65" i="63"/>
  <c r="F62" i="63"/>
  <c r="F46" i="63"/>
  <c r="F42" i="63"/>
  <c r="F34" i="63"/>
  <c r="F85" i="63"/>
  <c r="F80" i="63"/>
  <c r="F76" i="63"/>
  <c r="F67" i="63"/>
  <c r="F64" i="63"/>
  <c r="F52" i="63"/>
  <c r="F44" i="63"/>
  <c r="F40" i="63"/>
  <c r="F89" i="63"/>
  <c r="F83" i="63"/>
  <c r="F79" i="63"/>
  <c r="F58" i="63"/>
  <c r="F55" i="63"/>
  <c r="F51" i="63"/>
  <c r="F39" i="63"/>
  <c r="F73" i="63"/>
  <c r="F50" i="63"/>
  <c r="F38" i="63"/>
  <c r="F32" i="63"/>
  <c r="F28" i="63"/>
  <c r="F20" i="63"/>
  <c r="L12" i="63"/>
  <c r="N12" i="63" s="1"/>
  <c r="F81" i="63"/>
  <c r="F53" i="63"/>
  <c r="D30" i="63"/>
  <c r="F30" i="63" s="1"/>
  <c r="F27" i="63"/>
  <c r="F19" i="63"/>
  <c r="F26" i="63"/>
  <c r="F25" i="63"/>
  <c r="F33" i="63"/>
  <c r="F23" i="63"/>
  <c r="F18" i="63"/>
  <c r="F66" i="63"/>
  <c r="F56" i="63"/>
  <c r="F45" i="63"/>
  <c r="F22" i="63"/>
  <c r="F24" i="63"/>
  <c r="F78" i="63"/>
  <c r="F21" i="63"/>
  <c r="F61" i="63"/>
  <c r="F41" i="63"/>
  <c r="F69" i="63"/>
  <c r="L16" i="57"/>
  <c r="D68" i="57"/>
  <c r="H91" i="63"/>
  <c r="L16" i="61"/>
  <c r="N16" i="55"/>
  <c r="H31" i="55"/>
  <c r="L31" i="55" s="1"/>
  <c r="T81" i="51"/>
  <c r="V31" i="51"/>
  <c r="T27" i="53"/>
  <c r="Z18" i="53"/>
  <c r="X18" i="46"/>
  <c r="P27" i="46"/>
  <c r="L16" i="55"/>
  <c r="X18" i="44"/>
  <c r="P27" i="44"/>
  <c r="J31" i="51"/>
  <c r="D81" i="51"/>
  <c r="L31" i="51"/>
  <c r="N31" i="51" s="1"/>
  <c r="Z27" i="50"/>
  <c r="T31" i="50"/>
  <c r="P27" i="53"/>
  <c r="X18" i="53"/>
  <c r="T27" i="35"/>
  <c r="Z18" i="35"/>
  <c r="P27" i="40"/>
  <c r="X18" i="40"/>
  <c r="L27" i="38"/>
  <c r="F103" i="42"/>
  <c r="F95" i="42"/>
  <c r="F86" i="42"/>
  <c r="F78" i="42"/>
  <c r="F106" i="42"/>
  <c r="F94" i="42"/>
  <c r="F73" i="42"/>
  <c r="F70" i="42"/>
  <c r="F112" i="42"/>
  <c r="F110" i="42"/>
  <c r="F105" i="42"/>
  <c r="F93" i="42"/>
  <c r="F88" i="42"/>
  <c r="F85" i="42"/>
  <c r="F80" i="42"/>
  <c r="F77" i="42"/>
  <c r="F108" i="42"/>
  <c r="F99" i="42"/>
  <c r="F114" i="42"/>
  <c r="F102" i="42"/>
  <c r="F91" i="42"/>
  <c r="F87" i="42"/>
  <c r="F83" i="42"/>
  <c r="F79" i="42"/>
  <c r="F104" i="42"/>
  <c r="F101" i="42"/>
  <c r="F97" i="42"/>
  <c r="F89" i="42"/>
  <c r="F113" i="42"/>
  <c r="F98" i="42"/>
  <c r="F82" i="42"/>
  <c r="F67" i="42"/>
  <c r="F64" i="42"/>
  <c r="F55" i="42"/>
  <c r="F52" i="42"/>
  <c r="F44" i="42"/>
  <c r="F32" i="42"/>
  <c r="F27" i="42"/>
  <c r="F26" i="42"/>
  <c r="F20" i="42"/>
  <c r="F63" i="42"/>
  <c r="F58" i="42"/>
  <c r="F43" i="42"/>
  <c r="F38" i="42"/>
  <c r="F31" i="42"/>
  <c r="F92" i="42"/>
  <c r="F69" i="42"/>
  <c r="F66" i="42"/>
  <c r="F54" i="42"/>
  <c r="F49" i="42"/>
  <c r="F42" i="42"/>
  <c r="F30" i="42"/>
  <c r="F118" i="42"/>
  <c r="F96" i="42"/>
  <c r="F74" i="42"/>
  <c r="F60" i="42"/>
  <c r="F57" i="42"/>
  <c r="F41" i="42"/>
  <c r="F37" i="42"/>
  <c r="F29" i="42"/>
  <c r="F100" i="42"/>
  <c r="F84" i="42"/>
  <c r="F76" i="42"/>
  <c r="F75" i="42"/>
  <c r="F72" i="42"/>
  <c r="F68" i="42"/>
  <c r="F56" i="42"/>
  <c r="F51" i="42"/>
  <c r="F48" i="42"/>
  <c r="F40" i="42"/>
  <c r="F36" i="42"/>
  <c r="F28" i="42"/>
  <c r="F19" i="42"/>
  <c r="F65" i="42"/>
  <c r="F53" i="42"/>
  <c r="F50" i="42"/>
  <c r="F46" i="42"/>
  <c r="F34" i="42"/>
  <c r="D24" i="42"/>
  <c r="F22" i="42"/>
  <c r="L12" i="42"/>
  <c r="N12" i="42" s="1"/>
  <c r="F45" i="42"/>
  <c r="F33" i="42"/>
  <c r="F21" i="42"/>
  <c r="F61" i="42"/>
  <c r="F81" i="42"/>
  <c r="F71" i="42"/>
  <c r="F62" i="42"/>
  <c r="F35" i="42"/>
  <c r="F111" i="42"/>
  <c r="F107" i="42"/>
  <c r="F90" i="42"/>
  <c r="F59" i="42"/>
  <c r="F24" i="42"/>
  <c r="F47" i="42"/>
  <c r="F39" i="42"/>
  <c r="L18" i="33"/>
  <c r="D27" i="33"/>
  <c r="T116" i="42"/>
  <c r="T31" i="33"/>
  <c r="Z27" i="33"/>
  <c r="P36" i="20"/>
  <c r="L23" i="31"/>
  <c r="N23" i="31" s="1"/>
  <c r="D78" i="31"/>
  <c r="L18" i="22"/>
  <c r="D27" i="22"/>
  <c r="D36" i="24"/>
  <c r="P31" i="17"/>
  <c r="H160" i="12"/>
  <c r="H27" i="7"/>
  <c r="L27" i="7" s="1"/>
  <c r="N18" i="7"/>
  <c r="H178" i="3"/>
  <c r="J64" i="3"/>
  <c r="N64" i="3"/>
  <c r="Z27" i="8"/>
  <c r="T31" i="8"/>
  <c r="D22" i="6"/>
  <c r="L16" i="6"/>
  <c r="H27" i="11"/>
  <c r="N18" i="11"/>
  <c r="N27" i="10"/>
  <c r="H31" i="10"/>
  <c r="D31" i="7"/>
  <c r="L18" i="8"/>
  <c r="D27" i="8"/>
  <c r="P178" i="3"/>
  <c r="X64" i="3"/>
  <c r="Z64" i="3" s="1"/>
  <c r="L16" i="85"/>
  <c r="D28" i="85"/>
  <c r="F73" i="68"/>
  <c r="F69" i="68"/>
  <c r="F65" i="68"/>
  <c r="F56" i="68"/>
  <c r="F41" i="68"/>
  <c r="F36" i="68"/>
  <c r="F29" i="68"/>
  <c r="F68" i="68"/>
  <c r="F52" i="68"/>
  <c r="F47" i="68"/>
  <c r="F40" i="68"/>
  <c r="F28" i="68"/>
  <c r="F19" i="68"/>
  <c r="F76" i="68"/>
  <c r="F67" i="68"/>
  <c r="F62" i="68"/>
  <c r="F58" i="68"/>
  <c r="F55" i="68"/>
  <c r="F39" i="68"/>
  <c r="F35" i="68"/>
  <c r="F27" i="68"/>
  <c r="F54" i="68"/>
  <c r="F49" i="68"/>
  <c r="F46" i="68"/>
  <c r="F38" i="68"/>
  <c r="F34" i="68"/>
  <c r="L12" i="68"/>
  <c r="N12" i="68" s="1"/>
  <c r="F80" i="68"/>
  <c r="F60" i="68"/>
  <c r="F51" i="68"/>
  <c r="F48" i="68"/>
  <c r="F44" i="68"/>
  <c r="F32" i="68"/>
  <c r="F20" i="68"/>
  <c r="F71" i="68"/>
  <c r="F66" i="68"/>
  <c r="F63" i="68"/>
  <c r="F59" i="68"/>
  <c r="F43" i="68"/>
  <c r="F31" i="68"/>
  <c r="F26" i="68"/>
  <c r="F25" i="68"/>
  <c r="F72" i="68"/>
  <c r="F64" i="68"/>
  <c r="F70" i="68"/>
  <c r="F45" i="68"/>
  <c r="F42" i="68"/>
  <c r="F21" i="68"/>
  <c r="F75" i="68"/>
  <c r="F53" i="68"/>
  <c r="F33" i="68"/>
  <c r="F30" i="68"/>
  <c r="F37" i="68"/>
  <c r="F57" i="68"/>
  <c r="F61" i="68"/>
  <c r="D23" i="68"/>
  <c r="F23" i="68" s="1"/>
  <c r="F50" i="68"/>
  <c r="H120" i="67"/>
  <c r="T93" i="65"/>
  <c r="X18" i="30"/>
  <c r="P27" i="30"/>
  <c r="T31" i="24"/>
  <c r="Z27" i="24"/>
  <c r="T27" i="16"/>
  <c r="X27" i="16" s="1"/>
  <c r="Z18" i="16"/>
  <c r="F142" i="15"/>
  <c r="F138" i="15"/>
  <c r="F126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2" i="15"/>
  <c r="F34" i="15"/>
  <c r="F26" i="15"/>
  <c r="F21" i="15"/>
  <c r="L12" i="15"/>
  <c r="N12" i="15" s="1"/>
  <c r="F153" i="15"/>
  <c r="F148" i="15"/>
  <c r="F132" i="15"/>
  <c r="F125" i="15"/>
  <c r="F113" i="15"/>
  <c r="F109" i="15"/>
  <c r="F97" i="15"/>
  <c r="F85" i="15"/>
  <c r="F73" i="15"/>
  <c r="F65" i="15"/>
  <c r="F61" i="15"/>
  <c r="F50" i="15"/>
  <c r="F41" i="15"/>
  <c r="F33" i="15"/>
  <c r="F25" i="15"/>
  <c r="F145" i="15"/>
  <c r="F135" i="15"/>
  <c r="F108" i="15"/>
  <c r="F103" i="15"/>
  <c r="F100" i="15"/>
  <c r="F91" i="15"/>
  <c r="F88" i="15"/>
  <c r="F79" i="15"/>
  <c r="F76" i="15"/>
  <c r="F72" i="15"/>
  <c r="F60" i="15"/>
  <c r="D50" i="15"/>
  <c r="F48" i="15"/>
  <c r="F40" i="15"/>
  <c r="F32" i="15"/>
  <c r="F24" i="15"/>
  <c r="F131" i="15"/>
  <c r="F71" i="15"/>
  <c r="F59" i="15"/>
  <c r="F47" i="15"/>
  <c r="F39" i="15"/>
  <c r="F31" i="15"/>
  <c r="F23" i="15"/>
  <c r="F147" i="15"/>
  <c r="F141" i="15"/>
  <c r="F137" i="15"/>
  <c r="F134" i="15"/>
  <c r="F130" i="15"/>
  <c r="F121" i="15"/>
  <c r="F117" i="15"/>
  <c r="F105" i="15"/>
  <c r="F102" i="15"/>
  <c r="F93" i="15"/>
  <c r="F90" i="15"/>
  <c r="F81" i="15"/>
  <c r="F78" i="15"/>
  <c r="F70" i="15"/>
  <c r="F58" i="15"/>
  <c r="F53" i="15"/>
  <c r="F52" i="15"/>
  <c r="F46" i="15"/>
  <c r="F38" i="15"/>
  <c r="F30" i="15"/>
  <c r="F22" i="15"/>
  <c r="F133" i="15"/>
  <c r="F129" i="15"/>
  <c r="F124" i="15"/>
  <c r="F112" i="15"/>
  <c r="F96" i="15"/>
  <c r="F84" i="15"/>
  <c r="F69" i="15"/>
  <c r="F64" i="15"/>
  <c r="F57" i="15"/>
  <c r="F45" i="15"/>
  <c r="F37" i="15"/>
  <c r="F29" i="15"/>
  <c r="F146" i="15"/>
  <c r="F144" i="15"/>
  <c r="F139" i="15"/>
  <c r="F127" i="15"/>
  <c r="F123" i="15"/>
  <c r="F119" i="15"/>
  <c r="F115" i="15"/>
  <c r="F111" i="15"/>
  <c r="F95" i="15"/>
  <c r="F83" i="15"/>
  <c r="F67" i="15"/>
  <c r="F63" i="15"/>
  <c r="F55" i="15"/>
  <c r="F43" i="15"/>
  <c r="F35" i="15"/>
  <c r="F27" i="15"/>
  <c r="F28" i="15"/>
  <c r="F107" i="15"/>
  <c r="F68" i="15"/>
  <c r="F136" i="15"/>
  <c r="F120" i="15"/>
  <c r="F36" i="15"/>
  <c r="F149" i="15"/>
  <c r="F128" i="15"/>
  <c r="F104" i="15"/>
  <c r="F99" i="15"/>
  <c r="F56" i="15"/>
  <c r="F140" i="15"/>
  <c r="F80" i="15"/>
  <c r="F75" i="15"/>
  <c r="F92" i="15"/>
  <c r="F87" i="15"/>
  <c r="F44" i="15"/>
  <c r="F116" i="15"/>
  <c r="X18" i="95"/>
  <c r="P27" i="95"/>
  <c r="X18" i="93"/>
  <c r="P27" i="93"/>
  <c r="R30" i="89"/>
  <c r="R27" i="89"/>
  <c r="R38" i="89"/>
  <c r="R32" i="89"/>
  <c r="R29" i="89"/>
  <c r="R24" i="89"/>
  <c r="R19" i="89"/>
  <c r="R23" i="89"/>
  <c r="R21" i="89"/>
  <c r="P19" i="89"/>
  <c r="R22" i="89"/>
  <c r="R17" i="89"/>
  <c r="R16" i="89"/>
  <c r="X12" i="89"/>
  <c r="R31" i="89"/>
  <c r="R25" i="89"/>
  <c r="R34" i="89"/>
  <c r="R26" i="89"/>
  <c r="R28" i="89"/>
  <c r="N16" i="87"/>
  <c r="H60" i="87"/>
  <c r="L60" i="87" s="1"/>
  <c r="P28" i="85"/>
  <c r="X16" i="85"/>
  <c r="T53" i="84"/>
  <c r="Z16" i="84"/>
  <c r="L32" i="79"/>
  <c r="N32" i="79" s="1"/>
  <c r="D36" i="79"/>
  <c r="R89" i="76"/>
  <c r="R86" i="76"/>
  <c r="R81" i="76"/>
  <c r="R73" i="76"/>
  <c r="R70" i="76"/>
  <c r="R62" i="76"/>
  <c r="R57" i="76"/>
  <c r="R45" i="76"/>
  <c r="R37" i="76"/>
  <c r="R33" i="76"/>
  <c r="R26" i="76"/>
  <c r="R21" i="76"/>
  <c r="R92" i="76"/>
  <c r="R80" i="76"/>
  <c r="R65" i="76"/>
  <c r="R53" i="76"/>
  <c r="R48" i="76"/>
  <c r="R44" i="76"/>
  <c r="R32" i="76"/>
  <c r="R20" i="76"/>
  <c r="X12" i="76"/>
  <c r="Z12" i="76" s="1"/>
  <c r="R88" i="76"/>
  <c r="R83" i="76"/>
  <c r="R79" i="76"/>
  <c r="R72" i="76"/>
  <c r="R59" i="76"/>
  <c r="R56" i="76"/>
  <c r="R43" i="76"/>
  <c r="R36" i="76"/>
  <c r="R31" i="76"/>
  <c r="R19" i="76"/>
  <c r="R78" i="76"/>
  <c r="R50" i="76"/>
  <c r="R47" i="76"/>
  <c r="R42" i="76"/>
  <c r="R30" i="76"/>
  <c r="R85" i="76"/>
  <c r="R82" i="76"/>
  <c r="R77" i="76"/>
  <c r="R69" i="76"/>
  <c r="R61" i="76"/>
  <c r="R58" i="76"/>
  <c r="R41" i="76"/>
  <c r="R29" i="76"/>
  <c r="R96" i="76"/>
  <c r="R91" i="76"/>
  <c r="R76" i="76"/>
  <c r="R68" i="76"/>
  <c r="R64" i="76"/>
  <c r="R52" i="76"/>
  <c r="R49" i="76"/>
  <c r="R40" i="76"/>
  <c r="R28" i="76"/>
  <c r="R23" i="76"/>
  <c r="R84" i="76"/>
  <c r="R46" i="76"/>
  <c r="R39" i="76"/>
  <c r="R25" i="76"/>
  <c r="R74" i="76"/>
  <c r="R66" i="76"/>
  <c r="R63" i="76"/>
  <c r="R34" i="76"/>
  <c r="R75" i="76"/>
  <c r="R67" i="76"/>
  <c r="R60" i="76"/>
  <c r="R35" i="76"/>
  <c r="R51" i="76"/>
  <c r="P23" i="76"/>
  <c r="R38" i="76"/>
  <c r="R27" i="76"/>
  <c r="R55" i="76"/>
  <c r="R87" i="76"/>
  <c r="R54" i="76"/>
  <c r="R18" i="76"/>
  <c r="R71" i="76"/>
  <c r="R30" i="75"/>
  <c r="R22" i="75"/>
  <c r="R26" i="75"/>
  <c r="R24" i="75"/>
  <c r="P22" i="75"/>
  <c r="R34" i="75"/>
  <c r="R28" i="75"/>
  <c r="R25" i="75"/>
  <c r="R20" i="75"/>
  <c r="R27" i="75"/>
  <c r="R19" i="75"/>
  <c r="X12" i="75"/>
  <c r="Z12" i="75" s="1"/>
  <c r="R18" i="75"/>
  <c r="R17" i="75"/>
  <c r="T90" i="74"/>
  <c r="N24" i="74"/>
  <c r="H90" i="74"/>
  <c r="J24" i="74"/>
  <c r="P19" i="72"/>
  <c r="R16" i="72"/>
  <c r="R21" i="72"/>
  <c r="X12" i="72"/>
  <c r="Z12" i="72" s="1"/>
  <c r="R17" i="72"/>
  <c r="R23" i="72"/>
  <c r="R27" i="72"/>
  <c r="P81" i="69"/>
  <c r="X31" i="69"/>
  <c r="Z31" i="69" s="1"/>
  <c r="R76" i="69"/>
  <c r="N16" i="59"/>
  <c r="H68" i="59"/>
  <c r="R81" i="63"/>
  <c r="R73" i="63"/>
  <c r="R61" i="63"/>
  <c r="R58" i="63"/>
  <c r="R53" i="63"/>
  <c r="R45" i="63"/>
  <c r="R41" i="63"/>
  <c r="R80" i="63"/>
  <c r="R76" i="63"/>
  <c r="R69" i="63"/>
  <c r="R64" i="63"/>
  <c r="R52" i="63"/>
  <c r="R44" i="63"/>
  <c r="R40" i="63"/>
  <c r="R33" i="63"/>
  <c r="R28" i="63"/>
  <c r="R89" i="63"/>
  <c r="R83" i="63"/>
  <c r="R79" i="63"/>
  <c r="R72" i="63"/>
  <c r="R60" i="63"/>
  <c r="R55" i="63"/>
  <c r="R51" i="63"/>
  <c r="R39" i="63"/>
  <c r="R78" i="63"/>
  <c r="R75" i="63"/>
  <c r="R66" i="63"/>
  <c r="R63" i="63"/>
  <c r="R50" i="63"/>
  <c r="R43" i="63"/>
  <c r="R38" i="63"/>
  <c r="R77" i="63"/>
  <c r="R68" i="63"/>
  <c r="R65" i="63"/>
  <c r="R48" i="63"/>
  <c r="R36" i="63"/>
  <c r="R71" i="63"/>
  <c r="R59" i="63"/>
  <c r="R56" i="63"/>
  <c r="R47" i="63"/>
  <c r="R35" i="63"/>
  <c r="R30" i="63"/>
  <c r="R24" i="63"/>
  <c r="R70" i="63"/>
  <c r="R23" i="63"/>
  <c r="R22" i="63"/>
  <c r="R37" i="63"/>
  <c r="R32" i="63"/>
  <c r="R21" i="63"/>
  <c r="R85" i="63"/>
  <c r="R67" i="63"/>
  <c r="R57" i="63"/>
  <c r="R46" i="63"/>
  <c r="P30" i="63"/>
  <c r="R27" i="63"/>
  <c r="R19" i="63"/>
  <c r="R82" i="63"/>
  <c r="R62" i="63"/>
  <c r="R54" i="63"/>
  <c r="R26" i="63"/>
  <c r="R49" i="63"/>
  <c r="R25" i="63"/>
  <c r="R18" i="63"/>
  <c r="R34" i="63"/>
  <c r="R42" i="63"/>
  <c r="X12" i="63"/>
  <c r="Z12" i="63" s="1"/>
  <c r="R20" i="63"/>
  <c r="R74" i="63"/>
  <c r="T63" i="60"/>
  <c r="T79" i="56"/>
  <c r="L18" i="53"/>
  <c r="D27" i="53"/>
  <c r="D68" i="59"/>
  <c r="L16" i="59"/>
  <c r="D82" i="56"/>
  <c r="T27" i="43"/>
  <c r="X27" i="43" s="1"/>
  <c r="Z18" i="43"/>
  <c r="T27" i="44"/>
  <c r="Z18" i="44"/>
  <c r="T81" i="58"/>
  <c r="D31" i="50"/>
  <c r="Z16" i="57"/>
  <c r="T68" i="57"/>
  <c r="D31" i="47"/>
  <c r="L18" i="37"/>
  <c r="D27" i="37"/>
  <c r="V130" i="34"/>
  <c r="H31" i="40"/>
  <c r="N27" i="40"/>
  <c r="L25" i="39"/>
  <c r="N25" i="39" s="1"/>
  <c r="D118" i="39"/>
  <c r="L27" i="40"/>
  <c r="D31" i="40"/>
  <c r="H125" i="28"/>
  <c r="J40" i="28"/>
  <c r="J31" i="25"/>
  <c r="T31" i="38"/>
  <c r="Z27" i="38"/>
  <c r="T93" i="25"/>
  <c r="V31" i="25"/>
  <c r="R86" i="21"/>
  <c r="R66" i="21"/>
  <c r="R63" i="21"/>
  <c r="R58" i="21"/>
  <c r="R42" i="21"/>
  <c r="R38" i="21"/>
  <c r="R30" i="21"/>
  <c r="R89" i="21"/>
  <c r="R85" i="21"/>
  <c r="R57" i="21"/>
  <c r="R54" i="21"/>
  <c r="R49" i="21"/>
  <c r="R41" i="21"/>
  <c r="R37" i="21"/>
  <c r="R29" i="21"/>
  <c r="R27" i="21"/>
  <c r="P25" i="21"/>
  <c r="R95" i="21"/>
  <c r="R88" i="21"/>
  <c r="R84" i="21"/>
  <c r="R72" i="21"/>
  <c r="R68" i="21"/>
  <c r="R65" i="21"/>
  <c r="R60" i="21"/>
  <c r="R48" i="21"/>
  <c r="R40" i="21"/>
  <c r="R36" i="21"/>
  <c r="X12" i="21"/>
  <c r="Z12" i="21" s="1"/>
  <c r="R87" i="21"/>
  <c r="R82" i="21"/>
  <c r="R78" i="21"/>
  <c r="R74" i="21"/>
  <c r="R70" i="21"/>
  <c r="R67" i="21"/>
  <c r="R62" i="21"/>
  <c r="R59" i="21"/>
  <c r="R46" i="21"/>
  <c r="R39" i="21"/>
  <c r="R34" i="21"/>
  <c r="R22" i="21"/>
  <c r="R99" i="21"/>
  <c r="R93" i="21"/>
  <c r="R90" i="21"/>
  <c r="R81" i="21"/>
  <c r="R77" i="21"/>
  <c r="R53" i="21"/>
  <c r="R50" i="21"/>
  <c r="R45" i="21"/>
  <c r="R33" i="21"/>
  <c r="R21" i="21"/>
  <c r="R73" i="21"/>
  <c r="R69" i="21"/>
  <c r="R64" i="21"/>
  <c r="R61" i="21"/>
  <c r="R44" i="21"/>
  <c r="R32" i="21"/>
  <c r="R91" i="21"/>
  <c r="R47" i="21"/>
  <c r="R28" i="21"/>
  <c r="R55" i="21"/>
  <c r="R35" i="21"/>
  <c r="R23" i="21"/>
  <c r="R56" i="21"/>
  <c r="R20" i="21"/>
  <c r="R83" i="21"/>
  <c r="R52" i="21"/>
  <c r="R80" i="21"/>
  <c r="R79" i="21"/>
  <c r="R76" i="21"/>
  <c r="R75" i="21"/>
  <c r="R71" i="21"/>
  <c r="R51" i="21"/>
  <c r="R43" i="21"/>
  <c r="R31" i="21"/>
  <c r="R92" i="21"/>
  <c r="L18" i="24"/>
  <c r="H31" i="19"/>
  <c r="N27" i="19"/>
  <c r="T129" i="28"/>
  <c r="T27" i="14"/>
  <c r="Z18" i="14"/>
  <c r="X18" i="23"/>
  <c r="P27" i="23"/>
  <c r="T27" i="11"/>
  <c r="Z18" i="11"/>
  <c r="X18" i="4"/>
  <c r="P27" i="4"/>
  <c r="X18" i="17"/>
  <c r="X18" i="7"/>
  <c r="P27" i="7"/>
  <c r="F156" i="12"/>
  <c r="F150" i="12"/>
  <c r="F146" i="12"/>
  <c r="F143" i="12"/>
  <c r="F139" i="12"/>
  <c r="F130" i="12"/>
  <c r="F142" i="12"/>
  <c r="F158" i="12"/>
  <c r="F155" i="12"/>
  <c r="F153" i="12"/>
  <c r="F148" i="12"/>
  <c r="F136" i="12"/>
  <c r="F151" i="12"/>
  <c r="F147" i="12"/>
  <c r="F135" i="12"/>
  <c r="F131" i="12"/>
  <c r="F127" i="12"/>
  <c r="F162" i="12"/>
  <c r="F157" i="12"/>
  <c r="F141" i="12"/>
  <c r="F134" i="12"/>
  <c r="F140" i="12"/>
  <c r="F138" i="12"/>
  <c r="F137" i="12"/>
  <c r="F121" i="12"/>
  <c r="F113" i="12"/>
  <c r="F110" i="12"/>
  <c r="F105" i="12"/>
  <c r="F98" i="12"/>
  <c r="F93" i="12"/>
  <c r="F86" i="12"/>
  <c r="F81" i="12"/>
  <c r="F74" i="12"/>
  <c r="F62" i="12"/>
  <c r="F50" i="12"/>
  <c r="F42" i="12"/>
  <c r="F34" i="12"/>
  <c r="F26" i="12"/>
  <c r="L12" i="12"/>
  <c r="N12" i="12" s="1"/>
  <c r="F101" i="12"/>
  <c r="F89" i="12"/>
  <c r="F73" i="12"/>
  <c r="F69" i="12"/>
  <c r="F61" i="12"/>
  <c r="F49" i="12"/>
  <c r="F41" i="12"/>
  <c r="F33" i="12"/>
  <c r="F144" i="12"/>
  <c r="F120" i="12"/>
  <c r="F115" i="12"/>
  <c r="F112" i="12"/>
  <c r="F107" i="12"/>
  <c r="F104" i="12"/>
  <c r="F100" i="12"/>
  <c r="F95" i="12"/>
  <c r="F92" i="12"/>
  <c r="F88" i="12"/>
  <c r="F83" i="12"/>
  <c r="F80" i="12"/>
  <c r="F72" i="12"/>
  <c r="F68" i="12"/>
  <c r="F60" i="12"/>
  <c r="F48" i="12"/>
  <c r="F40" i="12"/>
  <c r="F32" i="12"/>
  <c r="F145" i="12"/>
  <c r="F119" i="12"/>
  <c r="F103" i="12"/>
  <c r="F91" i="12"/>
  <c r="F79" i="12"/>
  <c r="F71" i="12"/>
  <c r="F67" i="12"/>
  <c r="F47" i="12"/>
  <c r="F39" i="12"/>
  <c r="F31" i="12"/>
  <c r="F149" i="12"/>
  <c r="F126" i="12"/>
  <c r="F118" i="12"/>
  <c r="F114" i="12"/>
  <c r="F109" i="12"/>
  <c r="F106" i="12"/>
  <c r="F97" i="12"/>
  <c r="F94" i="12"/>
  <c r="F85" i="12"/>
  <c r="F82" i="12"/>
  <c r="F78" i="12"/>
  <c r="F66" i="12"/>
  <c r="D56" i="12"/>
  <c r="F54" i="12"/>
  <c r="F46" i="12"/>
  <c r="F38" i="12"/>
  <c r="F30" i="12"/>
  <c r="F25" i="12"/>
  <c r="F117" i="12"/>
  <c r="F77" i="12"/>
  <c r="F65" i="12"/>
  <c r="F53" i="12"/>
  <c r="F45" i="12"/>
  <c r="F37" i="12"/>
  <c r="F29" i="12"/>
  <c r="F128" i="12"/>
  <c r="F108" i="12"/>
  <c r="F99" i="12"/>
  <c r="F64" i="12"/>
  <c r="F125" i="12"/>
  <c r="F116" i="12"/>
  <c r="F70" i="12"/>
  <c r="F154" i="12"/>
  <c r="F129" i="12"/>
  <c r="F58" i="12"/>
  <c r="F132" i="12"/>
  <c r="F122" i="12"/>
  <c r="F96" i="12"/>
  <c r="F59" i="12"/>
  <c r="F123" i="12"/>
  <c r="F90" i="12"/>
  <c r="F75" i="12"/>
  <c r="F51" i="12"/>
  <c r="F43" i="12"/>
  <c r="F35" i="12"/>
  <c r="F133" i="12"/>
  <c r="F87" i="12"/>
  <c r="F52" i="12"/>
  <c r="F44" i="12"/>
  <c r="F36" i="12"/>
  <c r="F27" i="12"/>
  <c r="F102" i="12"/>
  <c r="F124" i="12"/>
  <c r="F63" i="12"/>
  <c r="F28" i="12"/>
  <c r="F111" i="12"/>
  <c r="F84" i="12"/>
  <c r="F76" i="12"/>
  <c r="D159" i="18"/>
  <c r="L56" i="18"/>
  <c r="N56" i="18" s="1"/>
  <c r="L18" i="4"/>
  <c r="D27" i="4"/>
  <c r="R157" i="12"/>
  <c r="R151" i="12"/>
  <c r="R147" i="12"/>
  <c r="R144" i="12"/>
  <c r="R135" i="12"/>
  <c r="R131" i="12"/>
  <c r="R127" i="12"/>
  <c r="R123" i="12"/>
  <c r="R119" i="12"/>
  <c r="R162" i="12"/>
  <c r="R154" i="12"/>
  <c r="R150" i="12"/>
  <c r="R156" i="12"/>
  <c r="R140" i="12"/>
  <c r="R133" i="12"/>
  <c r="R143" i="12"/>
  <c r="R139" i="12"/>
  <c r="R158" i="12"/>
  <c r="R153" i="12"/>
  <c r="R142" i="12"/>
  <c r="R138" i="12"/>
  <c r="R148" i="12"/>
  <c r="R141" i="12"/>
  <c r="R136" i="12"/>
  <c r="R155" i="12"/>
  <c r="R146" i="12"/>
  <c r="R145" i="12"/>
  <c r="R118" i="12"/>
  <c r="R114" i="12"/>
  <c r="R111" i="12"/>
  <c r="R106" i="12"/>
  <c r="R99" i="12"/>
  <c r="R94" i="12"/>
  <c r="R87" i="12"/>
  <c r="R82" i="12"/>
  <c r="R78" i="12"/>
  <c r="R66" i="12"/>
  <c r="R59" i="12"/>
  <c r="R54" i="12"/>
  <c r="R46" i="12"/>
  <c r="R38" i="12"/>
  <c r="R30" i="12"/>
  <c r="R149" i="12"/>
  <c r="R126" i="12"/>
  <c r="R125" i="12"/>
  <c r="R117" i="12"/>
  <c r="R102" i="12"/>
  <c r="R90" i="12"/>
  <c r="R77" i="12"/>
  <c r="R70" i="12"/>
  <c r="R65" i="12"/>
  <c r="R53" i="12"/>
  <c r="R45" i="12"/>
  <c r="R37" i="12"/>
  <c r="R29" i="12"/>
  <c r="R130" i="12"/>
  <c r="R129" i="12"/>
  <c r="R116" i="12"/>
  <c r="R113" i="12"/>
  <c r="R108" i="12"/>
  <c r="R105" i="12"/>
  <c r="R96" i="12"/>
  <c r="R93" i="12"/>
  <c r="R84" i="12"/>
  <c r="R81" i="12"/>
  <c r="R76" i="12"/>
  <c r="R64" i="12"/>
  <c r="R52" i="12"/>
  <c r="R44" i="12"/>
  <c r="R36" i="12"/>
  <c r="R28" i="12"/>
  <c r="R128" i="12"/>
  <c r="R122" i="12"/>
  <c r="R75" i="12"/>
  <c r="R63" i="12"/>
  <c r="R51" i="12"/>
  <c r="R43" i="12"/>
  <c r="R35" i="12"/>
  <c r="R27" i="12"/>
  <c r="R137" i="12"/>
  <c r="R132" i="12"/>
  <c r="R124" i="12"/>
  <c r="R121" i="12"/>
  <c r="R115" i="12"/>
  <c r="R110" i="12"/>
  <c r="R107" i="12"/>
  <c r="R98" i="12"/>
  <c r="R95" i="12"/>
  <c r="R86" i="12"/>
  <c r="R83" i="12"/>
  <c r="R74" i="12"/>
  <c r="R62" i="12"/>
  <c r="R50" i="12"/>
  <c r="R42" i="12"/>
  <c r="R34" i="12"/>
  <c r="R26" i="12"/>
  <c r="X12" i="12"/>
  <c r="Z12" i="12" s="1"/>
  <c r="R134" i="12"/>
  <c r="R120" i="12"/>
  <c r="R101" i="12"/>
  <c r="R89" i="12"/>
  <c r="R73" i="12"/>
  <c r="R69" i="12"/>
  <c r="R61" i="12"/>
  <c r="R49" i="12"/>
  <c r="R41" i="12"/>
  <c r="R33" i="12"/>
  <c r="R104" i="12"/>
  <c r="R100" i="12"/>
  <c r="R68" i="12"/>
  <c r="R109" i="12"/>
  <c r="R97" i="12"/>
  <c r="R91" i="12"/>
  <c r="R72" i="12"/>
  <c r="R47" i="12"/>
  <c r="R39" i="12"/>
  <c r="R31" i="12"/>
  <c r="R71" i="12"/>
  <c r="R92" i="12"/>
  <c r="R60" i="12"/>
  <c r="R48" i="12"/>
  <c r="R40" i="12"/>
  <c r="R32" i="12"/>
  <c r="P56" i="12"/>
  <c r="R56" i="12" s="1"/>
  <c r="R88" i="12"/>
  <c r="R85" i="12"/>
  <c r="R79" i="12"/>
  <c r="R25" i="12"/>
  <c r="R112" i="12"/>
  <c r="R103" i="12"/>
  <c r="R80" i="12"/>
  <c r="R67" i="12"/>
  <c r="R58" i="12"/>
  <c r="L18" i="7"/>
  <c r="R168" i="3"/>
  <c r="D86" i="78"/>
  <c r="L82" i="78"/>
  <c r="H35" i="80"/>
  <c r="P59" i="60"/>
  <c r="X16" i="60"/>
  <c r="T27" i="49"/>
  <c r="Z18" i="49"/>
  <c r="X18" i="52"/>
  <c r="P27" i="52"/>
  <c r="P106" i="45"/>
  <c r="X102" i="45"/>
  <c r="L18" i="93"/>
  <c r="D27" i="93"/>
  <c r="X17" i="92"/>
  <c r="Z17" i="92" s="1"/>
  <c r="N18" i="94"/>
  <c r="H27" i="94"/>
  <c r="X18" i="94"/>
  <c r="P27" i="94"/>
  <c r="V17" i="92"/>
  <c r="R90" i="91"/>
  <c r="R79" i="91"/>
  <c r="R86" i="91"/>
  <c r="R83" i="91"/>
  <c r="R78" i="91"/>
  <c r="R74" i="91"/>
  <c r="R46" i="91"/>
  <c r="R77" i="91"/>
  <c r="R73" i="91"/>
  <c r="R69" i="91"/>
  <c r="R65" i="91"/>
  <c r="R62" i="91"/>
  <c r="R57" i="91"/>
  <c r="R54" i="91"/>
  <c r="R49" i="91"/>
  <c r="R94" i="91"/>
  <c r="R88" i="91"/>
  <c r="R85" i="91"/>
  <c r="R76" i="91"/>
  <c r="R72" i="91"/>
  <c r="R68" i="91"/>
  <c r="R44" i="91"/>
  <c r="R87" i="91"/>
  <c r="R82" i="91"/>
  <c r="R75" i="91"/>
  <c r="R81" i="91"/>
  <c r="R64" i="91"/>
  <c r="R56" i="91"/>
  <c r="R39" i="91"/>
  <c r="R35" i="91"/>
  <c r="R27" i="91"/>
  <c r="R25" i="91"/>
  <c r="P23" i="91"/>
  <c r="R23" i="91" s="1"/>
  <c r="R70" i="91"/>
  <c r="R60" i="91"/>
  <c r="R59" i="91"/>
  <c r="R58" i="91"/>
  <c r="R38" i="91"/>
  <c r="R34" i="91"/>
  <c r="R63" i="91"/>
  <c r="R61" i="91"/>
  <c r="R33" i="91"/>
  <c r="R26" i="91"/>
  <c r="R21" i="91"/>
  <c r="R66" i="91"/>
  <c r="R48" i="91"/>
  <c r="R31" i="91"/>
  <c r="R19" i="91"/>
  <c r="R67" i="91"/>
  <c r="R53" i="91"/>
  <c r="R52" i="91"/>
  <c r="R51" i="91"/>
  <c r="R50" i="91"/>
  <c r="R43" i="91"/>
  <c r="R30" i="91"/>
  <c r="R42" i="91"/>
  <c r="R36" i="91"/>
  <c r="R32" i="91"/>
  <c r="R28" i="91"/>
  <c r="R18" i="91"/>
  <c r="R29" i="91"/>
  <c r="R84" i="91"/>
  <c r="R80" i="91"/>
  <c r="R71" i="91"/>
  <c r="R40" i="91"/>
  <c r="X12" i="91"/>
  <c r="Z12" i="91" s="1"/>
  <c r="R47" i="91"/>
  <c r="R37" i="91"/>
  <c r="R41" i="91"/>
  <c r="R20" i="91"/>
  <c r="R45" i="91"/>
  <c r="R55" i="91"/>
  <c r="V23" i="90"/>
  <c r="H36" i="86"/>
  <c r="N18" i="86"/>
  <c r="Z16" i="85"/>
  <c r="T28" i="85"/>
  <c r="R18" i="86"/>
  <c r="H91" i="83"/>
  <c r="N20" i="83"/>
  <c r="J20" i="83"/>
  <c r="N16" i="81"/>
  <c r="H28" i="81"/>
  <c r="L28" i="81" s="1"/>
  <c r="J23" i="82"/>
  <c r="F30" i="75"/>
  <c r="F34" i="75"/>
  <c r="F28" i="75"/>
  <c r="F25" i="75"/>
  <c r="F24" i="75"/>
  <c r="F27" i="75"/>
  <c r="F22" i="75"/>
  <c r="F20" i="75"/>
  <c r="F19" i="75"/>
  <c r="L12" i="75"/>
  <c r="N12" i="75" s="1"/>
  <c r="F26" i="75"/>
  <c r="D22" i="75"/>
  <c r="F18" i="75"/>
  <c r="F17" i="75"/>
  <c r="V101" i="82"/>
  <c r="T104" i="82"/>
  <c r="H94" i="76"/>
  <c r="D89" i="73"/>
  <c r="L21" i="73"/>
  <c r="N21" i="73" s="1"/>
  <c r="T25" i="72"/>
  <c r="V19" i="72"/>
  <c r="F88" i="76"/>
  <c r="F85" i="76"/>
  <c r="F77" i="76"/>
  <c r="F72" i="76"/>
  <c r="F69" i="76"/>
  <c r="F61" i="76"/>
  <c r="F56" i="76"/>
  <c r="F41" i="76"/>
  <c r="F36" i="76"/>
  <c r="F29" i="76"/>
  <c r="F96" i="76"/>
  <c r="F76" i="76"/>
  <c r="F68" i="76"/>
  <c r="F64" i="76"/>
  <c r="F52" i="76"/>
  <c r="F47" i="76"/>
  <c r="F40" i="76"/>
  <c r="F28" i="76"/>
  <c r="F87" i="76"/>
  <c r="F82" i="76"/>
  <c r="F75" i="76"/>
  <c r="F71" i="76"/>
  <c r="F67" i="76"/>
  <c r="F63" i="76"/>
  <c r="F58" i="76"/>
  <c r="F55" i="76"/>
  <c r="F39" i="76"/>
  <c r="F35" i="76"/>
  <c r="F27" i="76"/>
  <c r="F18" i="76"/>
  <c r="F91" i="76"/>
  <c r="F74" i="76"/>
  <c r="F66" i="76"/>
  <c r="F54" i="76"/>
  <c r="F49" i="76"/>
  <c r="F46" i="76"/>
  <c r="F38" i="76"/>
  <c r="F34" i="76"/>
  <c r="F89" i="76"/>
  <c r="F84" i="76"/>
  <c r="F81" i="76"/>
  <c r="F73" i="76"/>
  <c r="F60" i="76"/>
  <c r="F57" i="76"/>
  <c r="F45" i="76"/>
  <c r="F37" i="76"/>
  <c r="F33" i="76"/>
  <c r="F80" i="76"/>
  <c r="F51" i="76"/>
  <c r="F48" i="76"/>
  <c r="F44" i="76"/>
  <c r="F32" i="76"/>
  <c r="F20" i="76"/>
  <c r="L12" i="76"/>
  <c r="N12" i="76" s="1"/>
  <c r="D23" i="76"/>
  <c r="F83" i="76"/>
  <c r="F65" i="76"/>
  <c r="F62" i="76"/>
  <c r="F31" i="76"/>
  <c r="F19" i="76"/>
  <c r="F92" i="76"/>
  <c r="F42" i="76"/>
  <c r="F78" i="76"/>
  <c r="F21" i="76"/>
  <c r="F26" i="76"/>
  <c r="F79" i="76"/>
  <c r="F59" i="76"/>
  <c r="F53" i="76"/>
  <c r="F86" i="76"/>
  <c r="F50" i="76"/>
  <c r="F43" i="76"/>
  <c r="F30" i="76"/>
  <c r="F25" i="76"/>
  <c r="F70" i="76"/>
  <c r="R95" i="65"/>
  <c r="R77" i="65"/>
  <c r="R73" i="65"/>
  <c r="R61" i="65"/>
  <c r="R58" i="65"/>
  <c r="R49" i="65"/>
  <c r="R37" i="65"/>
  <c r="R25" i="65"/>
  <c r="R87" i="65"/>
  <c r="R80" i="65"/>
  <c r="R76" i="65"/>
  <c r="R72" i="65"/>
  <c r="R69" i="65"/>
  <c r="R48" i="65"/>
  <c r="R44" i="65"/>
  <c r="R36" i="65"/>
  <c r="R24" i="65"/>
  <c r="R89" i="65"/>
  <c r="R83" i="65"/>
  <c r="R79" i="65"/>
  <c r="R63" i="65"/>
  <c r="R60" i="65"/>
  <c r="R55" i="65"/>
  <c r="R47" i="65"/>
  <c r="R43" i="65"/>
  <c r="R35" i="65"/>
  <c r="R33" i="65"/>
  <c r="P31" i="65"/>
  <c r="R23" i="65"/>
  <c r="R82" i="65"/>
  <c r="R75" i="65"/>
  <c r="R71" i="65"/>
  <c r="R66" i="65"/>
  <c r="R54" i="65"/>
  <c r="R46" i="65"/>
  <c r="R42" i="65"/>
  <c r="R22" i="65"/>
  <c r="X12" i="65"/>
  <c r="Z12" i="65" s="1"/>
  <c r="R88" i="65"/>
  <c r="R81" i="65"/>
  <c r="R68" i="65"/>
  <c r="R52" i="65"/>
  <c r="R45" i="65"/>
  <c r="R40" i="65"/>
  <c r="R28" i="65"/>
  <c r="R20" i="65"/>
  <c r="R84" i="65"/>
  <c r="R64" i="65"/>
  <c r="R59" i="65"/>
  <c r="R56" i="65"/>
  <c r="R51" i="65"/>
  <c r="R39" i="65"/>
  <c r="R27" i="65"/>
  <c r="R78" i="65"/>
  <c r="R34" i="65"/>
  <c r="R19" i="65"/>
  <c r="R74" i="65"/>
  <c r="R65" i="65"/>
  <c r="R90" i="65"/>
  <c r="R70" i="65"/>
  <c r="R67" i="65"/>
  <c r="R57" i="65"/>
  <c r="R38" i="65"/>
  <c r="R29" i="65"/>
  <c r="R21" i="65"/>
  <c r="R85" i="65"/>
  <c r="R53" i="65"/>
  <c r="R50" i="65"/>
  <c r="R91" i="65"/>
  <c r="R62" i="65"/>
  <c r="R41" i="65"/>
  <c r="R26" i="65"/>
  <c r="F24" i="74"/>
  <c r="V113" i="67"/>
  <c r="X16" i="58"/>
  <c r="P77" i="58"/>
  <c r="V31" i="65"/>
  <c r="P113" i="67"/>
  <c r="X40" i="67"/>
  <c r="Z40" i="67" s="1"/>
  <c r="D81" i="58"/>
  <c r="L77" i="58"/>
  <c r="T68" i="59"/>
  <c r="Z16" i="59"/>
  <c r="D22" i="54"/>
  <c r="L16" i="54"/>
  <c r="P75" i="48"/>
  <c r="X17" i="48"/>
  <c r="Z17" i="48" s="1"/>
  <c r="R17" i="48"/>
  <c r="T27" i="46"/>
  <c r="Z18" i="46"/>
  <c r="X18" i="50"/>
  <c r="P27" i="50"/>
  <c r="L16" i="56"/>
  <c r="L18" i="44"/>
  <c r="D27" i="44"/>
  <c r="F50" i="64"/>
  <c r="F41" i="64"/>
  <c r="F38" i="64"/>
  <c r="F33" i="64"/>
  <c r="F30" i="64"/>
  <c r="F26" i="64"/>
  <c r="F53" i="64"/>
  <c r="F29" i="64"/>
  <c r="F57" i="64"/>
  <c r="F43" i="64"/>
  <c r="F40" i="64"/>
  <c r="F35" i="64"/>
  <c r="F32" i="64"/>
  <c r="D22" i="64"/>
  <c r="F22" i="64" s="1"/>
  <c r="F20" i="64"/>
  <c r="L12" i="64"/>
  <c r="F61" i="64"/>
  <c r="F55" i="64"/>
  <c r="F46" i="64"/>
  <c r="F19" i="64"/>
  <c r="F52" i="64"/>
  <c r="F45" i="64"/>
  <c r="F28" i="64"/>
  <c r="F48" i="64"/>
  <c r="F44" i="64"/>
  <c r="F39" i="64"/>
  <c r="F36" i="64"/>
  <c r="F31" i="64"/>
  <c r="F49" i="64"/>
  <c r="F51" i="64"/>
  <c r="F25" i="64"/>
  <c r="F27" i="64"/>
  <c r="F54" i="64"/>
  <c r="F47" i="64"/>
  <c r="F34" i="64"/>
  <c r="F42" i="64"/>
  <c r="F37" i="64"/>
  <c r="F18" i="64"/>
  <c r="F24" i="64"/>
  <c r="H27" i="49"/>
  <c r="N18" i="49"/>
  <c r="R102" i="45"/>
  <c r="L18" i="50"/>
  <c r="L18" i="47"/>
  <c r="D27" i="35"/>
  <c r="L18" i="35"/>
  <c r="Z27" i="40"/>
  <c r="T31" i="40"/>
  <c r="Z18" i="37"/>
  <c r="T27" i="37"/>
  <c r="F125" i="34"/>
  <c r="F112" i="34"/>
  <c r="F107" i="34"/>
  <c r="F122" i="34"/>
  <c r="F127" i="34"/>
  <c r="F102" i="34"/>
  <c r="F98" i="34"/>
  <c r="F94" i="34"/>
  <c r="F89" i="34"/>
  <c r="F86" i="34"/>
  <c r="F77" i="34"/>
  <c r="F74" i="34"/>
  <c r="F58" i="34"/>
  <c r="F54" i="34"/>
  <c r="F46" i="34"/>
  <c r="F34" i="34"/>
  <c r="F26" i="34"/>
  <c r="F126" i="34"/>
  <c r="F121" i="34"/>
  <c r="F119" i="34"/>
  <c r="F109" i="34"/>
  <c r="F108" i="34"/>
  <c r="F101" i="34"/>
  <c r="F97" i="34"/>
  <c r="F73" i="34"/>
  <c r="F68" i="34"/>
  <c r="F65" i="34"/>
  <c r="F57" i="34"/>
  <c r="F53" i="34"/>
  <c r="F33" i="34"/>
  <c r="F25" i="34"/>
  <c r="F132" i="34"/>
  <c r="F120" i="34"/>
  <c r="F111" i="34"/>
  <c r="F110" i="34"/>
  <c r="F106" i="34"/>
  <c r="F105" i="34"/>
  <c r="F91" i="34"/>
  <c r="F88" i="34"/>
  <c r="F79" i="34"/>
  <c r="F76" i="34"/>
  <c r="F64" i="34"/>
  <c r="F56" i="34"/>
  <c r="F52" i="34"/>
  <c r="D42" i="34"/>
  <c r="F40" i="34"/>
  <c r="F32" i="34"/>
  <c r="F24" i="34"/>
  <c r="F19" i="34"/>
  <c r="F124" i="34"/>
  <c r="F118" i="34"/>
  <c r="F114" i="34"/>
  <c r="F113" i="34"/>
  <c r="F82" i="34"/>
  <c r="F70" i="34"/>
  <c r="F67" i="34"/>
  <c r="F63" i="34"/>
  <c r="F51" i="34"/>
  <c r="F39" i="34"/>
  <c r="F31" i="34"/>
  <c r="F23" i="34"/>
  <c r="F117" i="34"/>
  <c r="F93" i="34"/>
  <c r="F90" i="34"/>
  <c r="F85" i="34"/>
  <c r="F78" i="34"/>
  <c r="F62" i="34"/>
  <c r="F50" i="34"/>
  <c r="F45" i="34"/>
  <c r="F44" i="34"/>
  <c r="F38" i="34"/>
  <c r="F30" i="34"/>
  <c r="F22" i="34"/>
  <c r="L12" i="34"/>
  <c r="N12" i="34" s="1"/>
  <c r="F104" i="34"/>
  <c r="F100" i="34"/>
  <c r="F96" i="34"/>
  <c r="F81" i="34"/>
  <c r="F72" i="34"/>
  <c r="F69" i="34"/>
  <c r="F61" i="34"/>
  <c r="F49" i="34"/>
  <c r="F37" i="34"/>
  <c r="F29" i="34"/>
  <c r="F21" i="34"/>
  <c r="F92" i="34"/>
  <c r="F87" i="34"/>
  <c r="F84" i="34"/>
  <c r="F80" i="34"/>
  <c r="F75" i="34"/>
  <c r="F60" i="34"/>
  <c r="F55" i="34"/>
  <c r="F48" i="34"/>
  <c r="F36" i="34"/>
  <c r="F28" i="34"/>
  <c r="F20" i="34"/>
  <c r="F116" i="34"/>
  <c r="F27" i="34"/>
  <c r="F66" i="34"/>
  <c r="F71" i="34"/>
  <c r="F83" i="34"/>
  <c r="F59" i="34"/>
  <c r="F115" i="34"/>
  <c r="F35" i="34"/>
  <c r="F128" i="34"/>
  <c r="F103" i="34"/>
  <c r="F99" i="34"/>
  <c r="F95" i="34"/>
  <c r="F47" i="34"/>
  <c r="X18" i="33"/>
  <c r="P27" i="33"/>
  <c r="P31" i="27"/>
  <c r="X27" i="27"/>
  <c r="R73" i="31"/>
  <c r="R69" i="31"/>
  <c r="R65" i="31"/>
  <c r="R62" i="31"/>
  <c r="R58" i="31"/>
  <c r="R41" i="31"/>
  <c r="R29" i="31"/>
  <c r="R76" i="31"/>
  <c r="R68" i="31"/>
  <c r="R52" i="31"/>
  <c r="R49" i="31"/>
  <c r="R40" i="31"/>
  <c r="R28" i="31"/>
  <c r="R72" i="31"/>
  <c r="R67" i="31"/>
  <c r="R64" i="31"/>
  <c r="R55" i="31"/>
  <c r="R39" i="31"/>
  <c r="R35" i="31"/>
  <c r="R27" i="31"/>
  <c r="R25" i="31"/>
  <c r="P23" i="31"/>
  <c r="R54" i="31"/>
  <c r="R51" i="31"/>
  <c r="R46" i="31"/>
  <c r="R38" i="31"/>
  <c r="R34" i="31"/>
  <c r="X12" i="31"/>
  <c r="Z12" i="31" s="1"/>
  <c r="R66" i="31"/>
  <c r="R61" i="31"/>
  <c r="R57" i="31"/>
  <c r="R45" i="31"/>
  <c r="R37" i="31"/>
  <c r="R33" i="31"/>
  <c r="R26" i="31"/>
  <c r="R21" i="31"/>
  <c r="R80" i="31"/>
  <c r="R75" i="31"/>
  <c r="R60" i="31"/>
  <c r="R53" i="31"/>
  <c r="R48" i="31"/>
  <c r="R44" i="31"/>
  <c r="R32" i="31"/>
  <c r="R20" i="31"/>
  <c r="R71" i="31"/>
  <c r="R63" i="31"/>
  <c r="R59" i="31"/>
  <c r="R56" i="31"/>
  <c r="R43" i="31"/>
  <c r="R36" i="31"/>
  <c r="R31" i="31"/>
  <c r="R70" i="31"/>
  <c r="R42" i="31"/>
  <c r="R50" i="31"/>
  <c r="R47" i="31"/>
  <c r="R30" i="31"/>
  <c r="R19" i="31"/>
  <c r="T27" i="23"/>
  <c r="Z18" i="23"/>
  <c r="P36" i="29"/>
  <c r="L18" i="20"/>
  <c r="D27" i="20"/>
  <c r="H27" i="37"/>
  <c r="N18" i="37"/>
  <c r="F117" i="28"/>
  <c r="F100" i="28"/>
  <c r="F89" i="28"/>
  <c r="F84" i="28"/>
  <c r="F81" i="28"/>
  <c r="F77" i="28"/>
  <c r="F72" i="28"/>
  <c r="F69" i="28"/>
  <c r="F64" i="28"/>
  <c r="F57" i="28"/>
  <c r="F45" i="28"/>
  <c r="F123" i="28"/>
  <c r="F111" i="28"/>
  <c r="F108" i="28"/>
  <c r="F103" i="28"/>
  <c r="F96" i="28"/>
  <c r="F92" i="28"/>
  <c r="F80" i="28"/>
  <c r="F56" i="28"/>
  <c r="F120" i="28"/>
  <c r="F107" i="28"/>
  <c r="F99" i="28"/>
  <c r="F95" i="28"/>
  <c r="F91" i="28"/>
  <c r="F86" i="28"/>
  <c r="F113" i="28"/>
  <c r="F110" i="28"/>
  <c r="F106" i="28"/>
  <c r="F102" i="28"/>
  <c r="F98" i="28"/>
  <c r="F94" i="28"/>
  <c r="F127" i="28"/>
  <c r="F122" i="28"/>
  <c r="F116" i="28"/>
  <c r="F105" i="28"/>
  <c r="F101" i="28"/>
  <c r="F88" i="28"/>
  <c r="F85" i="28"/>
  <c r="F76" i="28"/>
  <c r="F73" i="28"/>
  <c r="F68" i="28"/>
  <c r="F65" i="28"/>
  <c r="F61" i="28"/>
  <c r="F49" i="28"/>
  <c r="F112" i="28"/>
  <c r="F104" i="28"/>
  <c r="F79" i="28"/>
  <c r="F60" i="28"/>
  <c r="F48" i="28"/>
  <c r="F43" i="28"/>
  <c r="F115" i="28"/>
  <c r="F90" i="28"/>
  <c r="F87" i="28"/>
  <c r="F82" i="28"/>
  <c r="F75" i="28"/>
  <c r="F70" i="28"/>
  <c r="F67" i="28"/>
  <c r="F59" i="28"/>
  <c r="F47" i="28"/>
  <c r="F97" i="28"/>
  <c r="F74" i="28"/>
  <c r="F33" i="28"/>
  <c r="F25" i="28"/>
  <c r="F32" i="28"/>
  <c r="F24" i="28"/>
  <c r="F19" i="28"/>
  <c r="F66" i="28"/>
  <c r="F50" i="28"/>
  <c r="F31" i="28"/>
  <c r="F23" i="28"/>
  <c r="F52" i="28"/>
  <c r="F37" i="28"/>
  <c r="F29" i="28"/>
  <c r="F21" i="28"/>
  <c r="F83" i="28"/>
  <c r="F63" i="28"/>
  <c r="F62" i="28"/>
  <c r="F58" i="28"/>
  <c r="F46" i="28"/>
  <c r="F42" i="28"/>
  <c r="F36" i="28"/>
  <c r="F28" i="28"/>
  <c r="F20" i="28"/>
  <c r="F121" i="28"/>
  <c r="F114" i="28"/>
  <c r="F55" i="28"/>
  <c r="F54" i="28"/>
  <c r="F53" i="28"/>
  <c r="F35" i="28"/>
  <c r="F27" i="28"/>
  <c r="F93" i="28"/>
  <c r="F38" i="28"/>
  <c r="F22" i="28"/>
  <c r="F71" i="28"/>
  <c r="D40" i="28"/>
  <c r="F119" i="28"/>
  <c r="F109" i="28"/>
  <c r="F34" i="28"/>
  <c r="F30" i="28"/>
  <c r="F26" i="28"/>
  <c r="F44" i="28"/>
  <c r="F51" i="28"/>
  <c r="L12" i="28"/>
  <c r="N12" i="28" s="1"/>
  <c r="F78" i="28"/>
  <c r="H31" i="22"/>
  <c r="N27" i="22"/>
  <c r="L18" i="14"/>
  <c r="D27" i="14"/>
  <c r="L18" i="11"/>
  <c r="D27" i="11"/>
  <c r="Z16" i="6"/>
  <c r="T22" i="6"/>
  <c r="P27" i="14"/>
  <c r="X18" i="14"/>
  <c r="Z18" i="10"/>
  <c r="T27" i="10"/>
  <c r="H27" i="8"/>
  <c r="N18" i="8"/>
  <c r="T27" i="4"/>
  <c r="Z18" i="4"/>
  <c r="L27" i="30" l="1"/>
  <c r="D31" i="30"/>
  <c r="L31" i="19"/>
  <c r="N27" i="33"/>
  <c r="H31" i="33"/>
  <c r="H31" i="30"/>
  <c r="L31" i="30" s="1"/>
  <c r="N27" i="30"/>
  <c r="X27" i="22"/>
  <c r="P31" i="22"/>
  <c r="L27" i="19"/>
  <c r="D130" i="34"/>
  <c r="L42" i="34"/>
  <c r="N42" i="34" s="1"/>
  <c r="T32" i="85"/>
  <c r="D31" i="4"/>
  <c r="L27" i="4"/>
  <c r="L27" i="53"/>
  <c r="D31" i="53"/>
  <c r="D36" i="7"/>
  <c r="D125" i="28"/>
  <c r="L40" i="28"/>
  <c r="N40" i="28" s="1"/>
  <c r="H40" i="86"/>
  <c r="H98" i="76"/>
  <c r="J94" i="76"/>
  <c r="N27" i="94"/>
  <c r="H31" i="94"/>
  <c r="L31" i="94" s="1"/>
  <c r="D89" i="78"/>
  <c r="X27" i="23"/>
  <c r="P31" i="23"/>
  <c r="X25" i="21"/>
  <c r="Z25" i="21" s="1"/>
  <c r="P97" i="21"/>
  <c r="H36" i="40"/>
  <c r="N36" i="40" s="1"/>
  <c r="N31" i="40"/>
  <c r="D36" i="50"/>
  <c r="P87" i="63"/>
  <c r="X30" i="63"/>
  <c r="Z30" i="63" s="1"/>
  <c r="P25" i="72"/>
  <c r="X19" i="72"/>
  <c r="Z19" i="72" s="1"/>
  <c r="T36" i="24"/>
  <c r="Z36" i="24" s="1"/>
  <c r="Z31" i="24"/>
  <c r="H182" i="3"/>
  <c r="N178" i="3"/>
  <c r="J178" i="3"/>
  <c r="T36" i="33"/>
  <c r="Z36" i="33" s="1"/>
  <c r="Z31" i="33"/>
  <c r="T36" i="50"/>
  <c r="Z36" i="50" s="1"/>
  <c r="Z31" i="50"/>
  <c r="X27" i="46"/>
  <c r="P31" i="46"/>
  <c r="D67" i="87"/>
  <c r="N27" i="95"/>
  <c r="H31" i="95"/>
  <c r="H128" i="36"/>
  <c r="J124" i="36"/>
  <c r="T91" i="63"/>
  <c r="V87" i="63"/>
  <c r="H85" i="69"/>
  <c r="J81" i="69"/>
  <c r="N27" i="93"/>
  <c r="H31" i="93"/>
  <c r="N31" i="14"/>
  <c r="H36" i="14"/>
  <c r="N36" i="14" s="1"/>
  <c r="Z27" i="13"/>
  <c r="T31" i="13"/>
  <c r="T104" i="21"/>
  <c r="V101" i="21"/>
  <c r="D124" i="36"/>
  <c r="L27" i="36"/>
  <c r="N27" i="36" s="1"/>
  <c r="Z27" i="29"/>
  <c r="T31" i="29"/>
  <c r="X27" i="29"/>
  <c r="H106" i="45"/>
  <c r="J102" i="45"/>
  <c r="H79" i="56"/>
  <c r="N75" i="56"/>
  <c r="L75" i="56"/>
  <c r="H93" i="73"/>
  <c r="J89" i="73"/>
  <c r="Z27" i="94"/>
  <c r="T31" i="94"/>
  <c r="D94" i="74"/>
  <c r="L90" i="74"/>
  <c r="N90" i="74" s="1"/>
  <c r="F90" i="74"/>
  <c r="P31" i="13"/>
  <c r="X27" i="13"/>
  <c r="D79" i="48"/>
  <c r="L75" i="48"/>
  <c r="F75" i="48"/>
  <c r="X20" i="71"/>
  <c r="Z20" i="71" s="1"/>
  <c r="P77" i="71"/>
  <c r="D95" i="83"/>
  <c r="L91" i="83"/>
  <c r="P98" i="83"/>
  <c r="X95" i="83"/>
  <c r="T31" i="95"/>
  <c r="Z27" i="95"/>
  <c r="H122" i="39"/>
  <c r="N118" i="39"/>
  <c r="J118" i="39"/>
  <c r="F42" i="34"/>
  <c r="D72" i="57"/>
  <c r="L68" i="57"/>
  <c r="T39" i="79"/>
  <c r="X23" i="31"/>
  <c r="Z23" i="31" s="1"/>
  <c r="P78" i="31"/>
  <c r="T72" i="59"/>
  <c r="L23" i="76"/>
  <c r="N23" i="76" s="1"/>
  <c r="D94" i="76"/>
  <c r="L27" i="11"/>
  <c r="D31" i="11"/>
  <c r="P36" i="27"/>
  <c r="X31" i="27"/>
  <c r="Z27" i="46"/>
  <c r="T31" i="46"/>
  <c r="H31" i="8"/>
  <c r="N27" i="8"/>
  <c r="T31" i="23"/>
  <c r="Z27" i="23"/>
  <c r="R23" i="31"/>
  <c r="P31" i="33"/>
  <c r="X27" i="33"/>
  <c r="L27" i="35"/>
  <c r="D31" i="35"/>
  <c r="D84" i="58"/>
  <c r="V104" i="82"/>
  <c r="X27" i="7"/>
  <c r="P31" i="7"/>
  <c r="H36" i="19"/>
  <c r="N36" i="19" s="1"/>
  <c r="N31" i="19"/>
  <c r="T66" i="60"/>
  <c r="H72" i="59"/>
  <c r="N68" i="59"/>
  <c r="P36" i="89"/>
  <c r="X19" i="89"/>
  <c r="D151" i="15"/>
  <c r="L50" i="15"/>
  <c r="N50" i="15" s="1"/>
  <c r="X27" i="30"/>
  <c r="P31" i="30"/>
  <c r="P182" i="3"/>
  <c r="X178" i="3"/>
  <c r="R178" i="3"/>
  <c r="N27" i="11"/>
  <c r="H31" i="11"/>
  <c r="D31" i="22"/>
  <c r="L27" i="22"/>
  <c r="D36" i="38"/>
  <c r="L31" i="38"/>
  <c r="T85" i="69"/>
  <c r="V81" i="69"/>
  <c r="T97" i="90"/>
  <c r="V93" i="90"/>
  <c r="D31" i="95"/>
  <c r="L27" i="95"/>
  <c r="D104" i="9"/>
  <c r="D31" i="26"/>
  <c r="L27" i="26"/>
  <c r="H72" i="57"/>
  <c r="N68" i="57"/>
  <c r="H97" i="65"/>
  <c r="J93" i="65"/>
  <c r="P36" i="43"/>
  <c r="P159" i="18"/>
  <c r="X56" i="18"/>
  <c r="Z56" i="18" s="1"/>
  <c r="L31" i="25"/>
  <c r="N31" i="25" s="1"/>
  <c r="D93" i="25"/>
  <c r="X27" i="19"/>
  <c r="P31" i="19"/>
  <c r="P106" i="62"/>
  <c r="X102" i="62"/>
  <c r="Z102" i="62" s="1"/>
  <c r="T30" i="77"/>
  <c r="Z26" i="77"/>
  <c r="Z82" i="78"/>
  <c r="T86" i="78"/>
  <c r="L27" i="13"/>
  <c r="D31" i="13"/>
  <c r="N27" i="26"/>
  <c r="H31" i="26"/>
  <c r="T82" i="31"/>
  <c r="V78" i="31"/>
  <c r="P61" i="61"/>
  <c r="X57" i="61"/>
  <c r="Z57" i="61" s="1"/>
  <c r="X24" i="74"/>
  <c r="Z24" i="74" s="1"/>
  <c r="P90" i="74"/>
  <c r="R20" i="71"/>
  <c r="H86" i="78"/>
  <c r="N82" i="78"/>
  <c r="D91" i="88"/>
  <c r="L23" i="88"/>
  <c r="N23" i="88" s="1"/>
  <c r="L27" i="10"/>
  <c r="D31" i="10"/>
  <c r="T64" i="61"/>
  <c r="T38" i="55"/>
  <c r="T101" i="76"/>
  <c r="V98" i="76"/>
  <c r="N27" i="17"/>
  <c r="H31" i="17"/>
  <c r="T106" i="45"/>
  <c r="Z102" i="45"/>
  <c r="V102" i="45"/>
  <c r="D30" i="77"/>
  <c r="L26" i="77"/>
  <c r="T104" i="9"/>
  <c r="L27" i="20"/>
  <c r="D31" i="20"/>
  <c r="P63" i="60"/>
  <c r="X59" i="60"/>
  <c r="Z59" i="60" s="1"/>
  <c r="T97" i="65"/>
  <c r="V93" i="65"/>
  <c r="T95" i="88"/>
  <c r="V91" i="88"/>
  <c r="Z27" i="4"/>
  <c r="T31" i="4"/>
  <c r="P93" i="65"/>
  <c r="X31" i="65"/>
  <c r="Z31" i="65" s="1"/>
  <c r="P31" i="52"/>
  <c r="X27" i="52"/>
  <c r="D39" i="79"/>
  <c r="L36" i="79"/>
  <c r="Z27" i="10"/>
  <c r="T31" i="10"/>
  <c r="L27" i="14"/>
  <c r="D31" i="14"/>
  <c r="L22" i="64"/>
  <c r="D59" i="64"/>
  <c r="L27" i="44"/>
  <c r="D31" i="44"/>
  <c r="F23" i="76"/>
  <c r="N91" i="83"/>
  <c r="H95" i="83"/>
  <c r="J91" i="83"/>
  <c r="Z27" i="49"/>
  <c r="T31" i="49"/>
  <c r="R25" i="21"/>
  <c r="H129" i="28"/>
  <c r="J125" i="28"/>
  <c r="D31" i="37"/>
  <c r="L27" i="37"/>
  <c r="R19" i="72"/>
  <c r="X23" i="76"/>
  <c r="Z23" i="76" s="1"/>
  <c r="P94" i="76"/>
  <c r="T57" i="84"/>
  <c r="L23" i="68"/>
  <c r="N23" i="68" s="1"/>
  <c r="D78" i="68"/>
  <c r="D31" i="8"/>
  <c r="L27" i="8"/>
  <c r="H31" i="7"/>
  <c r="N27" i="7"/>
  <c r="T120" i="42"/>
  <c r="V116" i="42"/>
  <c r="H94" i="63"/>
  <c r="J91" i="63"/>
  <c r="D113" i="67"/>
  <c r="L40" i="67"/>
  <c r="N40" i="67" s="1"/>
  <c r="F40" i="67"/>
  <c r="X27" i="8"/>
  <c r="P31" i="8"/>
  <c r="P125" i="28"/>
  <c r="X40" i="28"/>
  <c r="Z40" i="28" s="1"/>
  <c r="T137" i="34"/>
  <c r="V134" i="34"/>
  <c r="T122" i="39"/>
  <c r="V118" i="39"/>
  <c r="N27" i="46"/>
  <c r="H31" i="46"/>
  <c r="L25" i="72"/>
  <c r="D29" i="72"/>
  <c r="F25" i="72"/>
  <c r="P104" i="9"/>
  <c r="X104" i="9" s="1"/>
  <c r="X101" i="9"/>
  <c r="Z101" i="9" s="1"/>
  <c r="P36" i="16"/>
  <c r="T128" i="36"/>
  <c r="V124" i="36"/>
  <c r="H61" i="61"/>
  <c r="N57" i="61"/>
  <c r="P67" i="87"/>
  <c r="P57" i="84"/>
  <c r="X53" i="84"/>
  <c r="Z53" i="84" s="1"/>
  <c r="H31" i="32"/>
  <c r="N27" i="32"/>
  <c r="H31" i="50"/>
  <c r="L31" i="50" s="1"/>
  <c r="N27" i="50"/>
  <c r="H81" i="71"/>
  <c r="J77" i="71"/>
  <c r="T98" i="83"/>
  <c r="Z95" i="83"/>
  <c r="V95" i="83"/>
  <c r="T31" i="17"/>
  <c r="X31" i="17" s="1"/>
  <c r="Z27" i="17"/>
  <c r="H97" i="25"/>
  <c r="J93" i="25"/>
  <c r="H36" i="75"/>
  <c r="J32" i="75"/>
  <c r="D36" i="47"/>
  <c r="H164" i="12"/>
  <c r="J160" i="12"/>
  <c r="D93" i="65"/>
  <c r="L31" i="65"/>
  <c r="N31" i="65" s="1"/>
  <c r="D163" i="18"/>
  <c r="L159" i="18"/>
  <c r="F159" i="18"/>
  <c r="Z27" i="11"/>
  <c r="T31" i="11"/>
  <c r="F40" i="28"/>
  <c r="H31" i="37"/>
  <c r="N27" i="37"/>
  <c r="P79" i="48"/>
  <c r="X75" i="48"/>
  <c r="Z75" i="48" s="1"/>
  <c r="R75" i="48"/>
  <c r="P117" i="67"/>
  <c r="X113" i="67"/>
  <c r="Z113" i="67" s="1"/>
  <c r="R113" i="67"/>
  <c r="R31" i="65"/>
  <c r="T29" i="72"/>
  <c r="V25" i="72"/>
  <c r="P92" i="91"/>
  <c r="X23" i="91"/>
  <c r="Z23" i="91" s="1"/>
  <c r="D31" i="93"/>
  <c r="L27" i="93"/>
  <c r="Z27" i="14"/>
  <c r="T31" i="14"/>
  <c r="T97" i="25"/>
  <c r="V93" i="25"/>
  <c r="D36" i="40"/>
  <c r="L31" i="40"/>
  <c r="T84" i="58"/>
  <c r="D72" i="59"/>
  <c r="L68" i="59"/>
  <c r="P32" i="75"/>
  <c r="X22" i="75"/>
  <c r="Z22" i="75" s="1"/>
  <c r="D26" i="6"/>
  <c r="L22" i="6"/>
  <c r="D82" i="31"/>
  <c r="L78" i="31"/>
  <c r="F78" i="31"/>
  <c r="D31" i="33"/>
  <c r="L27" i="33"/>
  <c r="X27" i="40"/>
  <c r="P31" i="40"/>
  <c r="D85" i="51"/>
  <c r="L81" i="51"/>
  <c r="F81" i="51"/>
  <c r="T31" i="53"/>
  <c r="Z27" i="53"/>
  <c r="P36" i="79"/>
  <c r="X32" i="79"/>
  <c r="Z32" i="79" s="1"/>
  <c r="Z36" i="89"/>
  <c r="T40" i="89"/>
  <c r="L27" i="29"/>
  <c r="D31" i="29"/>
  <c r="D102" i="45"/>
  <c r="L25" i="45"/>
  <c r="N25" i="45" s="1"/>
  <c r="T120" i="67"/>
  <c r="V117" i="67"/>
  <c r="P40" i="86"/>
  <c r="X36" i="86"/>
  <c r="R36" i="86"/>
  <c r="H31" i="47"/>
  <c r="N27" i="47"/>
  <c r="P31" i="10"/>
  <c r="X27" i="10"/>
  <c r="P36" i="47"/>
  <c r="X31" i="47"/>
  <c r="T85" i="68"/>
  <c r="V82" i="68"/>
  <c r="T36" i="19"/>
  <c r="Z36" i="19" s="1"/>
  <c r="Z31" i="19"/>
  <c r="N78" i="31"/>
  <c r="H82" i="31"/>
  <c r="J78" i="31"/>
  <c r="P81" i="51"/>
  <c r="X31" i="51"/>
  <c r="Z31" i="51" s="1"/>
  <c r="N27" i="44"/>
  <c r="H31" i="44"/>
  <c r="D101" i="82"/>
  <c r="L97" i="82"/>
  <c r="F97" i="82"/>
  <c r="T99" i="91"/>
  <c r="V96" i="91"/>
  <c r="D31" i="17"/>
  <c r="L27" i="17"/>
  <c r="H101" i="21"/>
  <c r="J97" i="21"/>
  <c r="P122" i="39"/>
  <c r="X118" i="39"/>
  <c r="Z118" i="39" s="1"/>
  <c r="R118" i="39"/>
  <c r="H26" i="54"/>
  <c r="N22" i="54"/>
  <c r="H109" i="62"/>
  <c r="N36" i="89"/>
  <c r="H40" i="89"/>
  <c r="H155" i="15"/>
  <c r="J151" i="15"/>
  <c r="P134" i="34"/>
  <c r="X130" i="34"/>
  <c r="Z130" i="34" s="1"/>
  <c r="R130" i="34"/>
  <c r="H31" i="4"/>
  <c r="N27" i="4"/>
  <c r="H31" i="41"/>
  <c r="L31" i="41" s="1"/>
  <c r="N27" i="41"/>
  <c r="P72" i="57"/>
  <c r="X68" i="57"/>
  <c r="P72" i="59"/>
  <c r="X68" i="59"/>
  <c r="Z68" i="59" s="1"/>
  <c r="P89" i="78"/>
  <c r="X86" i="78"/>
  <c r="D35" i="81"/>
  <c r="D40" i="89"/>
  <c r="L36" i="89"/>
  <c r="F36" i="89"/>
  <c r="N27" i="52"/>
  <c r="H31" i="52"/>
  <c r="H31" i="24"/>
  <c r="N27" i="24"/>
  <c r="L27" i="24"/>
  <c r="P116" i="42"/>
  <c r="X24" i="42"/>
  <c r="Z24" i="42" s="1"/>
  <c r="H36" i="38"/>
  <c r="N36" i="38" s="1"/>
  <c r="N31" i="38"/>
  <c r="H120" i="42"/>
  <c r="J116" i="42"/>
  <c r="P66" i="64"/>
  <c r="R63" i="64"/>
  <c r="D32" i="80"/>
  <c r="L28" i="80"/>
  <c r="N28" i="80" s="1"/>
  <c r="D93" i="90"/>
  <c r="L23" i="90"/>
  <c r="N23" i="90" s="1"/>
  <c r="H96" i="91"/>
  <c r="J92" i="91"/>
  <c r="D75" i="92"/>
  <c r="L17" i="92"/>
  <c r="N17" i="92" s="1"/>
  <c r="H57" i="84"/>
  <c r="N53" i="84"/>
  <c r="T31" i="32"/>
  <c r="X31" i="32" s="1"/>
  <c r="Z27" i="32"/>
  <c r="H36" i="53"/>
  <c r="N36" i="53" s="1"/>
  <c r="N31" i="53"/>
  <c r="H30" i="77"/>
  <c r="N26" i="77"/>
  <c r="T36" i="30"/>
  <c r="Z36" i="30" s="1"/>
  <c r="Z31" i="30"/>
  <c r="L27" i="46"/>
  <c r="D31" i="46"/>
  <c r="Z27" i="37"/>
  <c r="T31" i="37"/>
  <c r="X27" i="37"/>
  <c r="P160" i="12"/>
  <c r="X56" i="12"/>
  <c r="Z56" i="12" s="1"/>
  <c r="P32" i="85"/>
  <c r="X28" i="85"/>
  <c r="Z28" i="85" s="1"/>
  <c r="Z27" i="93"/>
  <c r="T31" i="93"/>
  <c r="F31" i="65"/>
  <c r="H101" i="9"/>
  <c r="N97" i="9"/>
  <c r="H85" i="51"/>
  <c r="N81" i="51"/>
  <c r="J81" i="51"/>
  <c r="P79" i="56"/>
  <c r="X75" i="56"/>
  <c r="Z75" i="56" s="1"/>
  <c r="Z60" i="87"/>
  <c r="T64" i="87"/>
  <c r="P36" i="5"/>
  <c r="X50" i="15"/>
  <c r="Z50" i="15" s="1"/>
  <c r="P151" i="15"/>
  <c r="X27" i="14"/>
  <c r="P31" i="14"/>
  <c r="H36" i="22"/>
  <c r="N36" i="22" s="1"/>
  <c r="N31" i="22"/>
  <c r="X27" i="50"/>
  <c r="P31" i="50"/>
  <c r="D26" i="54"/>
  <c r="L22" i="54"/>
  <c r="P81" i="58"/>
  <c r="X77" i="58"/>
  <c r="Z77" i="58" s="1"/>
  <c r="D160" i="12"/>
  <c r="L56" i="12"/>
  <c r="N56" i="12" s="1"/>
  <c r="F56" i="12"/>
  <c r="T132" i="28"/>
  <c r="V129" i="28"/>
  <c r="D122" i="39"/>
  <c r="L118" i="39"/>
  <c r="F118" i="39"/>
  <c r="Z27" i="44"/>
  <c r="T31" i="44"/>
  <c r="P85" i="69"/>
  <c r="X81" i="69"/>
  <c r="Z81" i="69" s="1"/>
  <c r="R81" i="69"/>
  <c r="H64" i="87"/>
  <c r="N60" i="87"/>
  <c r="P31" i="93"/>
  <c r="X27" i="93"/>
  <c r="Z27" i="35"/>
  <c r="T31" i="35"/>
  <c r="P31" i="44"/>
  <c r="X27" i="44"/>
  <c r="T36" i="47"/>
  <c r="Z36" i="47" s="1"/>
  <c r="Z31" i="47"/>
  <c r="H101" i="82"/>
  <c r="N97" i="82"/>
  <c r="J97" i="82"/>
  <c r="T36" i="27"/>
  <c r="Z36" i="27" s="1"/>
  <c r="Z31" i="27"/>
  <c r="L27" i="52"/>
  <c r="D31" i="52"/>
  <c r="H63" i="60"/>
  <c r="L59" i="60"/>
  <c r="N59" i="60" s="1"/>
  <c r="L27" i="94"/>
  <c r="D31" i="5"/>
  <c r="L27" i="5"/>
  <c r="D31" i="32"/>
  <c r="L27" i="32"/>
  <c r="X27" i="41"/>
  <c r="P31" i="41"/>
  <c r="P32" i="81"/>
  <c r="X28" i="81"/>
  <c r="F17" i="92"/>
  <c r="H163" i="18"/>
  <c r="N159" i="18"/>
  <c r="J159" i="18"/>
  <c r="D97" i="21"/>
  <c r="L25" i="21"/>
  <c r="N25" i="21" s="1"/>
  <c r="X27" i="38"/>
  <c r="P31" i="38"/>
  <c r="N27" i="43"/>
  <c r="H31" i="43"/>
  <c r="H81" i="58"/>
  <c r="L81" i="58" s="1"/>
  <c r="N77" i="58"/>
  <c r="T79" i="92"/>
  <c r="Z75" i="92"/>
  <c r="V75" i="92"/>
  <c r="H97" i="90"/>
  <c r="J93" i="90"/>
  <c r="H26" i="6"/>
  <c r="N22" i="6"/>
  <c r="V84" i="71"/>
  <c r="P82" i="92"/>
  <c r="X79" i="92"/>
  <c r="R79" i="92"/>
  <c r="D36" i="30"/>
  <c r="V82" i="48"/>
  <c r="T26" i="54"/>
  <c r="Z22" i="54"/>
  <c r="X22" i="54"/>
  <c r="T182" i="3"/>
  <c r="Z178" i="3"/>
  <c r="V178" i="3"/>
  <c r="T26" i="6"/>
  <c r="Z22" i="6"/>
  <c r="X22" i="6"/>
  <c r="T36" i="40"/>
  <c r="Z36" i="40" s="1"/>
  <c r="Z31" i="40"/>
  <c r="N27" i="49"/>
  <c r="H31" i="49"/>
  <c r="L89" i="73"/>
  <c r="N89" i="73" s="1"/>
  <c r="D93" i="73"/>
  <c r="F89" i="73"/>
  <c r="D32" i="75"/>
  <c r="L22" i="75"/>
  <c r="N22" i="75" s="1"/>
  <c r="N28" i="81"/>
  <c r="H32" i="81"/>
  <c r="P31" i="94"/>
  <c r="X27" i="94"/>
  <c r="P109" i="45"/>
  <c r="X106" i="45"/>
  <c r="R106" i="45"/>
  <c r="T36" i="38"/>
  <c r="Z36" i="38" s="1"/>
  <c r="Z31" i="38"/>
  <c r="T72" i="57"/>
  <c r="Z68" i="57"/>
  <c r="T31" i="16"/>
  <c r="Z27" i="16"/>
  <c r="J120" i="67"/>
  <c r="D32" i="85"/>
  <c r="L28" i="85"/>
  <c r="N28" i="85" s="1"/>
  <c r="H36" i="10"/>
  <c r="N36" i="10" s="1"/>
  <c r="N31" i="10"/>
  <c r="P36" i="17"/>
  <c r="D116" i="42"/>
  <c r="L24" i="42"/>
  <c r="N24" i="42" s="1"/>
  <c r="T85" i="51"/>
  <c r="V81" i="51"/>
  <c r="X23" i="68"/>
  <c r="Z23" i="68" s="1"/>
  <c r="P78" i="68"/>
  <c r="X21" i="73"/>
  <c r="Z21" i="73" s="1"/>
  <c r="P89" i="73"/>
  <c r="D40" i="86"/>
  <c r="L36" i="86"/>
  <c r="N36" i="86" s="1"/>
  <c r="F36" i="86"/>
  <c r="D38" i="55"/>
  <c r="T63" i="64"/>
  <c r="Z59" i="64"/>
  <c r="X27" i="49"/>
  <c r="P31" i="49"/>
  <c r="D64" i="61"/>
  <c r="L61" i="61"/>
  <c r="T39" i="75"/>
  <c r="V36" i="75"/>
  <c r="X27" i="11"/>
  <c r="P31" i="11"/>
  <c r="R50" i="15"/>
  <c r="T166" i="18"/>
  <c r="V163" i="18"/>
  <c r="Z27" i="20"/>
  <c r="T31" i="20"/>
  <c r="X27" i="20"/>
  <c r="Z27" i="41"/>
  <c r="T31" i="41"/>
  <c r="H82" i="68"/>
  <c r="J78" i="68"/>
  <c r="P32" i="80"/>
  <c r="X28" i="80"/>
  <c r="Z28" i="80" s="1"/>
  <c r="D36" i="94"/>
  <c r="D31" i="43"/>
  <c r="L27" i="43"/>
  <c r="D106" i="62"/>
  <c r="L102" i="62"/>
  <c r="N102" i="62" s="1"/>
  <c r="H39" i="79"/>
  <c r="N36" i="79"/>
  <c r="H35" i="85"/>
  <c r="P93" i="90"/>
  <c r="X23" i="90"/>
  <c r="Z23" i="90" s="1"/>
  <c r="D92" i="91"/>
  <c r="L23" i="91"/>
  <c r="N23" i="91" s="1"/>
  <c r="H79" i="92"/>
  <c r="J75" i="92"/>
  <c r="N27" i="13"/>
  <c r="H31" i="13"/>
  <c r="H31" i="20"/>
  <c r="N27" i="20"/>
  <c r="H31" i="35"/>
  <c r="N27" i="35"/>
  <c r="L27" i="41"/>
  <c r="H79" i="48"/>
  <c r="N75" i="48"/>
  <c r="J75" i="48"/>
  <c r="L27" i="49"/>
  <c r="D31" i="49"/>
  <c r="D31" i="23"/>
  <c r="L27" i="23"/>
  <c r="Z28" i="81"/>
  <c r="T32" i="81"/>
  <c r="T36" i="7"/>
  <c r="Z36" i="7" s="1"/>
  <c r="Z31" i="7"/>
  <c r="X27" i="4"/>
  <c r="P31" i="4"/>
  <c r="H94" i="74"/>
  <c r="J90" i="74"/>
  <c r="Z31" i="8"/>
  <c r="T36" i="8"/>
  <c r="Z36" i="8" s="1"/>
  <c r="P36" i="24"/>
  <c r="X31" i="24"/>
  <c r="T31" i="43"/>
  <c r="X31" i="43" s="1"/>
  <c r="Z27" i="43"/>
  <c r="T82" i="56"/>
  <c r="T94" i="74"/>
  <c r="V90" i="74"/>
  <c r="P31" i="95"/>
  <c r="X27" i="95"/>
  <c r="P31" i="53"/>
  <c r="X27" i="53"/>
  <c r="N31" i="55"/>
  <c r="H35" i="55"/>
  <c r="L35" i="55" s="1"/>
  <c r="L30" i="63"/>
  <c r="N30" i="63" s="1"/>
  <c r="D87" i="63"/>
  <c r="T93" i="73"/>
  <c r="V89" i="73"/>
  <c r="L31" i="69"/>
  <c r="N31" i="69" s="1"/>
  <c r="D81" i="69"/>
  <c r="H63" i="64"/>
  <c r="H95" i="88"/>
  <c r="J91" i="88"/>
  <c r="T164" i="12"/>
  <c r="V160" i="12"/>
  <c r="H31" i="27"/>
  <c r="N27" i="27"/>
  <c r="L27" i="27"/>
  <c r="H134" i="34"/>
  <c r="J130" i="34"/>
  <c r="X27" i="35"/>
  <c r="P31" i="35"/>
  <c r="L20" i="71"/>
  <c r="N20" i="71" s="1"/>
  <c r="D77" i="71"/>
  <c r="T40" i="86"/>
  <c r="Z36" i="86"/>
  <c r="N27" i="29"/>
  <c r="H31" i="29"/>
  <c r="L53" i="84"/>
  <c r="D57" i="84"/>
  <c r="T31" i="5"/>
  <c r="X31" i="5" s="1"/>
  <c r="Z27" i="5"/>
  <c r="T31" i="26"/>
  <c r="Z27" i="26"/>
  <c r="X27" i="26"/>
  <c r="P124" i="36"/>
  <c r="X27" i="36"/>
  <c r="Z27" i="36" s="1"/>
  <c r="P33" i="77"/>
  <c r="X30" i="77"/>
  <c r="T32" i="80"/>
  <c r="P36" i="32"/>
  <c r="X31" i="25"/>
  <c r="Z31" i="25" s="1"/>
  <c r="P93" i="25"/>
  <c r="X31" i="55"/>
  <c r="Z31" i="55" s="1"/>
  <c r="P35" i="55"/>
  <c r="P95" i="88"/>
  <c r="X91" i="88"/>
  <c r="Z91" i="88" s="1"/>
  <c r="R91" i="88"/>
  <c r="D182" i="3"/>
  <c r="L178" i="3"/>
  <c r="F178" i="3"/>
  <c r="D31" i="16"/>
  <c r="L27" i="16"/>
  <c r="T155" i="15"/>
  <c r="V151" i="15"/>
  <c r="N27" i="23"/>
  <c r="H31" i="23"/>
  <c r="Z27" i="52"/>
  <c r="T31" i="52"/>
  <c r="D36" i="41"/>
  <c r="H29" i="72"/>
  <c r="J25" i="72"/>
  <c r="N25" i="72"/>
  <c r="H31" i="16"/>
  <c r="N27" i="16"/>
  <c r="X23" i="82"/>
  <c r="Z23" i="82" s="1"/>
  <c r="P97" i="82"/>
  <c r="H31" i="5"/>
  <c r="N27" i="5"/>
  <c r="X36" i="24" l="1"/>
  <c r="L36" i="38"/>
  <c r="L36" i="40"/>
  <c r="N31" i="33"/>
  <c r="H36" i="33"/>
  <c r="N36" i="33" s="1"/>
  <c r="L36" i="19"/>
  <c r="X36" i="47"/>
  <c r="P36" i="22"/>
  <c r="X36" i="22" s="1"/>
  <c r="X31" i="22"/>
  <c r="X36" i="27"/>
  <c r="H36" i="30"/>
  <c r="N36" i="30" s="1"/>
  <c r="N31" i="30"/>
  <c r="P36" i="49"/>
  <c r="X31" i="49"/>
  <c r="P35" i="81"/>
  <c r="X32" i="81"/>
  <c r="H100" i="65"/>
  <c r="J97" i="65"/>
  <c r="H101" i="76"/>
  <c r="J98" i="76"/>
  <c r="P36" i="95"/>
  <c r="X31" i="95"/>
  <c r="P93" i="73"/>
  <c r="X89" i="73"/>
  <c r="Z89" i="73" s="1"/>
  <c r="R89" i="73"/>
  <c r="T31" i="54"/>
  <c r="Z26" i="54"/>
  <c r="X26" i="54"/>
  <c r="D31" i="54"/>
  <c r="L26" i="54"/>
  <c r="H36" i="4"/>
  <c r="N36" i="4" s="1"/>
  <c r="N31" i="4"/>
  <c r="T60" i="84"/>
  <c r="H75" i="59"/>
  <c r="H125" i="39"/>
  <c r="J122" i="39"/>
  <c r="D97" i="74"/>
  <c r="L94" i="74"/>
  <c r="F94" i="74"/>
  <c r="H82" i="56"/>
  <c r="N79" i="56"/>
  <c r="L79" i="56"/>
  <c r="L124" i="36"/>
  <c r="N124" i="36" s="1"/>
  <c r="D128" i="36"/>
  <c r="F124" i="36"/>
  <c r="N31" i="93"/>
  <c r="H36" i="93"/>
  <c r="N36" i="93" s="1"/>
  <c r="H32" i="72"/>
  <c r="J29" i="72"/>
  <c r="T36" i="26"/>
  <c r="Z31" i="26"/>
  <c r="X31" i="26"/>
  <c r="T43" i="86"/>
  <c r="H98" i="88"/>
  <c r="J95" i="88"/>
  <c r="D91" i="63"/>
  <c r="L87" i="63"/>
  <c r="N87" i="63" s="1"/>
  <c r="F87" i="63"/>
  <c r="D36" i="49"/>
  <c r="L31" i="49"/>
  <c r="L92" i="91"/>
  <c r="N92" i="91" s="1"/>
  <c r="D96" i="91"/>
  <c r="F92" i="91"/>
  <c r="D109" i="62"/>
  <c r="L109" i="62" s="1"/>
  <c r="N109" i="62" s="1"/>
  <c r="L106" i="62"/>
  <c r="N106" i="62" s="1"/>
  <c r="P35" i="80"/>
  <c r="X32" i="80"/>
  <c r="Z79" i="92"/>
  <c r="T82" i="92"/>
  <c r="V79" i="92"/>
  <c r="D101" i="21"/>
  <c r="L97" i="21"/>
  <c r="N97" i="21" s="1"/>
  <c r="F97" i="21"/>
  <c r="H104" i="82"/>
  <c r="J101" i="82"/>
  <c r="T36" i="44"/>
  <c r="Z36" i="44" s="1"/>
  <c r="Z31" i="44"/>
  <c r="P36" i="50"/>
  <c r="X36" i="50" s="1"/>
  <c r="X31" i="50"/>
  <c r="H88" i="51"/>
  <c r="J85" i="51"/>
  <c r="H60" i="84"/>
  <c r="H104" i="21"/>
  <c r="J101" i="21"/>
  <c r="P96" i="91"/>
  <c r="X92" i="91"/>
  <c r="Z92" i="91" s="1"/>
  <c r="R92" i="91"/>
  <c r="N31" i="37"/>
  <c r="H36" i="37"/>
  <c r="N36" i="37" s="1"/>
  <c r="H39" i="75"/>
  <c r="J36" i="75"/>
  <c r="H64" i="61"/>
  <c r="N61" i="61"/>
  <c r="H132" i="28"/>
  <c r="J129" i="28"/>
  <c r="D36" i="44"/>
  <c r="L31" i="44"/>
  <c r="D36" i="20"/>
  <c r="L31" i="20"/>
  <c r="T109" i="45"/>
  <c r="Z106" i="45"/>
  <c r="V106" i="45"/>
  <c r="H89" i="78"/>
  <c r="N86" i="78"/>
  <c r="T85" i="31"/>
  <c r="V82" i="31"/>
  <c r="Z30" i="77"/>
  <c r="T33" i="77"/>
  <c r="Z33" i="77" s="1"/>
  <c r="P163" i="18"/>
  <c r="X159" i="18"/>
  <c r="Z159" i="18" s="1"/>
  <c r="R159" i="18"/>
  <c r="H75" i="57"/>
  <c r="T100" i="90"/>
  <c r="V97" i="90"/>
  <c r="D36" i="22"/>
  <c r="L36" i="22" s="1"/>
  <c r="L31" i="22"/>
  <c r="D36" i="11"/>
  <c r="L31" i="11"/>
  <c r="Z31" i="94"/>
  <c r="T36" i="94"/>
  <c r="Z36" i="94" s="1"/>
  <c r="H187" i="3"/>
  <c r="J182" i="3"/>
  <c r="P91" i="63"/>
  <c r="X87" i="63"/>
  <c r="Z87" i="63" s="1"/>
  <c r="R87" i="63"/>
  <c r="P36" i="4"/>
  <c r="X31" i="4"/>
  <c r="Z31" i="41"/>
  <c r="T36" i="41"/>
  <c r="Z36" i="41" s="1"/>
  <c r="T36" i="32"/>
  <c r="Z36" i="32" s="1"/>
  <c r="Z31" i="32"/>
  <c r="V99" i="91"/>
  <c r="D36" i="95"/>
  <c r="L31" i="95"/>
  <c r="T94" i="63"/>
  <c r="V91" i="63"/>
  <c r="P29" i="72"/>
  <c r="X25" i="72"/>
  <c r="Z25" i="72" s="1"/>
  <c r="R25" i="72"/>
  <c r="L116" i="42"/>
  <c r="N116" i="42" s="1"/>
  <c r="D120" i="42"/>
  <c r="F116" i="42"/>
  <c r="T123" i="42"/>
  <c r="V120" i="42"/>
  <c r="Z38" i="55"/>
  <c r="H36" i="5"/>
  <c r="N36" i="5" s="1"/>
  <c r="N31" i="5"/>
  <c r="T158" i="15"/>
  <c r="V155" i="15"/>
  <c r="P98" i="88"/>
  <c r="X95" i="88"/>
  <c r="Z95" i="88" s="1"/>
  <c r="R95" i="88"/>
  <c r="Z32" i="80"/>
  <c r="T35" i="80"/>
  <c r="D81" i="71"/>
  <c r="L77" i="71"/>
  <c r="N77" i="71" s="1"/>
  <c r="F77" i="71"/>
  <c r="H36" i="20"/>
  <c r="N36" i="20" s="1"/>
  <c r="N31" i="20"/>
  <c r="Z31" i="20"/>
  <c r="T36" i="20"/>
  <c r="X31" i="20"/>
  <c r="T66" i="64"/>
  <c r="X78" i="68"/>
  <c r="Z78" i="68" s="1"/>
  <c r="P82" i="68"/>
  <c r="R78" i="68"/>
  <c r="X109" i="45"/>
  <c r="R109" i="45"/>
  <c r="L93" i="73"/>
  <c r="D96" i="73"/>
  <c r="F93" i="73"/>
  <c r="Z26" i="6"/>
  <c r="T31" i="6"/>
  <c r="X26" i="6"/>
  <c r="N63" i="60"/>
  <c r="H66" i="60"/>
  <c r="L63" i="60"/>
  <c r="P164" i="12"/>
  <c r="X160" i="12"/>
  <c r="Z160" i="12" s="1"/>
  <c r="R160" i="12"/>
  <c r="D35" i="80"/>
  <c r="L35" i="80" s="1"/>
  <c r="N35" i="80" s="1"/>
  <c r="L32" i="80"/>
  <c r="N32" i="80" s="1"/>
  <c r="P75" i="59"/>
  <c r="X72" i="59"/>
  <c r="D104" i="82"/>
  <c r="L101" i="82"/>
  <c r="N101" i="82" s="1"/>
  <c r="F101" i="82"/>
  <c r="P36" i="10"/>
  <c r="X31" i="10"/>
  <c r="V120" i="67"/>
  <c r="X36" i="79"/>
  <c r="Z36" i="79" s="1"/>
  <c r="P39" i="79"/>
  <c r="X39" i="79" s="1"/>
  <c r="P36" i="75"/>
  <c r="X32" i="75"/>
  <c r="Z32" i="75" s="1"/>
  <c r="R32" i="75"/>
  <c r="D97" i="65"/>
  <c r="L93" i="65"/>
  <c r="N93" i="65" s="1"/>
  <c r="F93" i="65"/>
  <c r="H36" i="32"/>
  <c r="N36" i="32" s="1"/>
  <c r="N31" i="32"/>
  <c r="P98" i="76"/>
  <c r="X94" i="76"/>
  <c r="Z94" i="76" s="1"/>
  <c r="R94" i="76"/>
  <c r="L39" i="79"/>
  <c r="N39" i="79" s="1"/>
  <c r="H36" i="17"/>
  <c r="N36" i="17" s="1"/>
  <c r="N31" i="17"/>
  <c r="N31" i="26"/>
  <c r="H36" i="26"/>
  <c r="N36" i="26" s="1"/>
  <c r="N31" i="11"/>
  <c r="H36" i="11"/>
  <c r="N36" i="11" s="1"/>
  <c r="D155" i="15"/>
  <c r="L151" i="15"/>
  <c r="N151" i="15" s="1"/>
  <c r="F151" i="15"/>
  <c r="T36" i="23"/>
  <c r="Z36" i="23" s="1"/>
  <c r="Z31" i="23"/>
  <c r="Z39" i="79"/>
  <c r="T36" i="95"/>
  <c r="Z36" i="95" s="1"/>
  <c r="Z31" i="95"/>
  <c r="H131" i="36"/>
  <c r="J128" i="36"/>
  <c r="L86" i="78"/>
  <c r="H43" i="86"/>
  <c r="N40" i="86"/>
  <c r="L31" i="4"/>
  <c r="D36" i="4"/>
  <c r="D43" i="86"/>
  <c r="L40" i="86"/>
  <c r="F40" i="86"/>
  <c r="X82" i="92"/>
  <c r="R82" i="92"/>
  <c r="P155" i="15"/>
  <c r="X151" i="15"/>
  <c r="Z151" i="15" s="1"/>
  <c r="R151" i="15"/>
  <c r="D88" i="51"/>
  <c r="L85" i="51"/>
  <c r="N85" i="51" s="1"/>
  <c r="F85" i="51"/>
  <c r="T36" i="10"/>
  <c r="Z36" i="10" s="1"/>
  <c r="Z31" i="10"/>
  <c r="X31" i="33"/>
  <c r="P36" i="33"/>
  <c r="X36" i="33" s="1"/>
  <c r="P36" i="40"/>
  <c r="X36" i="40" s="1"/>
  <c r="X31" i="40"/>
  <c r="T125" i="39"/>
  <c r="V122" i="39"/>
  <c r="P66" i="60"/>
  <c r="X66" i="60" s="1"/>
  <c r="Z66" i="60" s="1"/>
  <c r="X63" i="60"/>
  <c r="Z63" i="60" s="1"/>
  <c r="P36" i="23"/>
  <c r="X31" i="23"/>
  <c r="P101" i="82"/>
  <c r="X97" i="82"/>
  <c r="Z97" i="82" s="1"/>
  <c r="R97" i="82"/>
  <c r="H66" i="64"/>
  <c r="T97" i="74"/>
  <c r="V94" i="74"/>
  <c r="T35" i="81"/>
  <c r="Z35" i="81" s="1"/>
  <c r="Z32" i="81"/>
  <c r="H36" i="13"/>
  <c r="N36" i="13" s="1"/>
  <c r="N31" i="13"/>
  <c r="X93" i="90"/>
  <c r="Z93" i="90" s="1"/>
  <c r="P97" i="90"/>
  <c r="R93" i="90"/>
  <c r="D36" i="43"/>
  <c r="L31" i="43"/>
  <c r="Z31" i="16"/>
  <c r="T36" i="16"/>
  <c r="Z36" i="16" s="1"/>
  <c r="H31" i="6"/>
  <c r="N26" i="6"/>
  <c r="H84" i="58"/>
  <c r="L84" i="58" s="1"/>
  <c r="N81" i="58"/>
  <c r="D36" i="32"/>
  <c r="L31" i="32"/>
  <c r="D36" i="52"/>
  <c r="L31" i="52"/>
  <c r="X31" i="93"/>
  <c r="P36" i="93"/>
  <c r="D164" i="12"/>
  <c r="L160" i="12"/>
  <c r="N160" i="12" s="1"/>
  <c r="F160" i="12"/>
  <c r="T67" i="87"/>
  <c r="N101" i="9"/>
  <c r="H104" i="9"/>
  <c r="H33" i="77"/>
  <c r="N33" i="77" s="1"/>
  <c r="N30" i="77"/>
  <c r="D79" i="92"/>
  <c r="L75" i="92"/>
  <c r="N75" i="92" s="1"/>
  <c r="F75" i="92"/>
  <c r="P137" i="34"/>
  <c r="X134" i="34"/>
  <c r="Z134" i="34" s="1"/>
  <c r="R134" i="34"/>
  <c r="H36" i="44"/>
  <c r="N36" i="44" s="1"/>
  <c r="N31" i="44"/>
  <c r="D36" i="33"/>
  <c r="L31" i="33"/>
  <c r="T100" i="25"/>
  <c r="V97" i="25"/>
  <c r="T36" i="11"/>
  <c r="Z36" i="11" s="1"/>
  <c r="Z31" i="11"/>
  <c r="V98" i="83"/>
  <c r="D32" i="72"/>
  <c r="L29" i="72"/>
  <c r="N29" i="72" s="1"/>
  <c r="F29" i="72"/>
  <c r="L113" i="67"/>
  <c r="N113" i="67" s="1"/>
  <c r="D117" i="67"/>
  <c r="F113" i="67"/>
  <c r="H36" i="7"/>
  <c r="N36" i="7" s="1"/>
  <c r="N31" i="7"/>
  <c r="T36" i="49"/>
  <c r="Z36" i="49" s="1"/>
  <c r="Z31" i="49"/>
  <c r="D63" i="64"/>
  <c r="L59" i="64"/>
  <c r="N59" i="64" s="1"/>
  <c r="F59" i="64"/>
  <c r="T98" i="88"/>
  <c r="V95" i="88"/>
  <c r="P94" i="74"/>
  <c r="X90" i="74"/>
  <c r="Z90" i="74" s="1"/>
  <c r="R90" i="74"/>
  <c r="P109" i="62"/>
  <c r="X109" i="62" s="1"/>
  <c r="Z109" i="62" s="1"/>
  <c r="X106" i="62"/>
  <c r="Z106" i="62" s="1"/>
  <c r="D36" i="26"/>
  <c r="L31" i="26"/>
  <c r="D98" i="76"/>
  <c r="L94" i="76"/>
  <c r="N94" i="76" s="1"/>
  <c r="F94" i="76"/>
  <c r="D82" i="48"/>
  <c r="L79" i="48"/>
  <c r="N79" i="48" s="1"/>
  <c r="F79" i="48"/>
  <c r="H109" i="45"/>
  <c r="J106" i="45"/>
  <c r="V104" i="21"/>
  <c r="L89" i="78"/>
  <c r="T36" i="43"/>
  <c r="Z36" i="43" s="1"/>
  <c r="Z31" i="43"/>
  <c r="H43" i="89"/>
  <c r="N43" i="89" s="1"/>
  <c r="N40" i="89"/>
  <c r="P43" i="86"/>
  <c r="X40" i="86"/>
  <c r="Z40" i="86" s="1"/>
  <c r="R40" i="86"/>
  <c r="P82" i="48"/>
  <c r="X79" i="48"/>
  <c r="Z79" i="48" s="1"/>
  <c r="R79" i="48"/>
  <c r="P81" i="71"/>
  <c r="X77" i="71"/>
  <c r="Z77" i="71" s="1"/>
  <c r="R77" i="71"/>
  <c r="D36" i="53"/>
  <c r="L36" i="53" s="1"/>
  <c r="L31" i="53"/>
  <c r="D36" i="75"/>
  <c r="L32" i="75"/>
  <c r="N32" i="75" s="1"/>
  <c r="F32" i="75"/>
  <c r="P36" i="41"/>
  <c r="X36" i="41" s="1"/>
  <c r="X31" i="41"/>
  <c r="V132" i="28"/>
  <c r="P35" i="85"/>
  <c r="X32" i="85"/>
  <c r="H36" i="52"/>
  <c r="N36" i="52" s="1"/>
  <c r="N31" i="52"/>
  <c r="D31" i="6"/>
  <c r="L31" i="6" s="1"/>
  <c r="L26" i="6"/>
  <c r="T36" i="17"/>
  <c r="Z36" i="17" s="1"/>
  <c r="Z31" i="17"/>
  <c r="P36" i="46"/>
  <c r="X31" i="46"/>
  <c r="P38" i="55"/>
  <c r="X38" i="55" s="1"/>
  <c r="X35" i="55"/>
  <c r="Z35" i="55" s="1"/>
  <c r="Z31" i="5"/>
  <c r="T36" i="5"/>
  <c r="Z36" i="5" s="1"/>
  <c r="H36" i="27"/>
  <c r="N31" i="27"/>
  <c r="L31" i="27"/>
  <c r="N35" i="55"/>
  <c r="H38" i="55"/>
  <c r="T36" i="52"/>
  <c r="Z36" i="52" s="1"/>
  <c r="Z31" i="52"/>
  <c r="L31" i="16"/>
  <c r="D36" i="16"/>
  <c r="X33" i="77"/>
  <c r="D60" i="84"/>
  <c r="L60" i="84" s="1"/>
  <c r="L57" i="84"/>
  <c r="N57" i="84" s="1"/>
  <c r="P36" i="35"/>
  <c r="X31" i="35"/>
  <c r="L81" i="69"/>
  <c r="N81" i="69" s="1"/>
  <c r="D85" i="69"/>
  <c r="F81" i="69"/>
  <c r="V39" i="75"/>
  <c r="L38" i="55"/>
  <c r="P36" i="94"/>
  <c r="X31" i="94"/>
  <c r="N31" i="49"/>
  <c r="H36" i="49"/>
  <c r="N36" i="49" s="1"/>
  <c r="H36" i="43"/>
  <c r="N36" i="43" s="1"/>
  <c r="N31" i="43"/>
  <c r="H166" i="18"/>
  <c r="J163" i="18"/>
  <c r="Z31" i="37"/>
  <c r="T36" i="37"/>
  <c r="X31" i="37"/>
  <c r="X63" i="64"/>
  <c r="Z63" i="64" s="1"/>
  <c r="P120" i="42"/>
  <c r="X116" i="42"/>
  <c r="Z116" i="42" s="1"/>
  <c r="R116" i="42"/>
  <c r="D43" i="89"/>
  <c r="L40" i="89"/>
  <c r="F40" i="89"/>
  <c r="P75" i="57"/>
  <c r="X72" i="57"/>
  <c r="H31" i="54"/>
  <c r="N26" i="54"/>
  <c r="D36" i="17"/>
  <c r="L31" i="17"/>
  <c r="H36" i="47"/>
  <c r="N36" i="47" s="1"/>
  <c r="N31" i="47"/>
  <c r="D106" i="45"/>
  <c r="L102" i="45"/>
  <c r="N102" i="45" s="1"/>
  <c r="F102" i="45"/>
  <c r="T36" i="53"/>
  <c r="Z36" i="53" s="1"/>
  <c r="Z31" i="53"/>
  <c r="D75" i="59"/>
  <c r="L75" i="59" s="1"/>
  <c r="L72" i="59"/>
  <c r="N72" i="59" s="1"/>
  <c r="T36" i="14"/>
  <c r="Z36" i="14" s="1"/>
  <c r="Z31" i="14"/>
  <c r="T32" i="72"/>
  <c r="V29" i="72"/>
  <c r="P120" i="67"/>
  <c r="X117" i="67"/>
  <c r="Z117" i="67" s="1"/>
  <c r="R117" i="67"/>
  <c r="P60" i="84"/>
  <c r="X60" i="84" s="1"/>
  <c r="X57" i="84"/>
  <c r="Z57" i="84" s="1"/>
  <c r="V137" i="34"/>
  <c r="P36" i="52"/>
  <c r="X31" i="52"/>
  <c r="Z104" i="9"/>
  <c r="D36" i="10"/>
  <c r="L36" i="10" s="1"/>
  <c r="L31" i="10"/>
  <c r="D36" i="13"/>
  <c r="L31" i="13"/>
  <c r="P36" i="19"/>
  <c r="X36" i="19" s="1"/>
  <c r="X31" i="19"/>
  <c r="L101" i="9"/>
  <c r="T88" i="69"/>
  <c r="Z85" i="69"/>
  <c r="V85" i="69"/>
  <c r="P40" i="89"/>
  <c r="X36" i="89"/>
  <c r="R36" i="89"/>
  <c r="D36" i="35"/>
  <c r="L31" i="35"/>
  <c r="H36" i="8"/>
  <c r="N36" i="8" s="1"/>
  <c r="N31" i="8"/>
  <c r="L72" i="57"/>
  <c r="N72" i="57" s="1"/>
  <c r="D75" i="57"/>
  <c r="L75" i="57" s="1"/>
  <c r="X98" i="83"/>
  <c r="Z98" i="83" s="1"/>
  <c r="N93" i="73"/>
  <c r="H96" i="73"/>
  <c r="J93" i="73"/>
  <c r="T36" i="13"/>
  <c r="Z36" i="13" s="1"/>
  <c r="Z31" i="13"/>
  <c r="H88" i="69"/>
  <c r="J85" i="69"/>
  <c r="H36" i="95"/>
  <c r="N36" i="95" s="1"/>
  <c r="N31" i="95"/>
  <c r="H36" i="94"/>
  <c r="N36" i="94" s="1"/>
  <c r="N31" i="94"/>
  <c r="D129" i="28"/>
  <c r="L125" i="28"/>
  <c r="N125" i="28" s="1"/>
  <c r="F125" i="28"/>
  <c r="Z32" i="85"/>
  <c r="T35" i="85"/>
  <c r="H123" i="42"/>
  <c r="J120" i="42"/>
  <c r="D36" i="93"/>
  <c r="L31" i="93"/>
  <c r="D95" i="88"/>
  <c r="L91" i="88"/>
  <c r="N91" i="88" s="1"/>
  <c r="F91" i="88"/>
  <c r="P36" i="30"/>
  <c r="X36" i="30" s="1"/>
  <c r="X31" i="30"/>
  <c r="H137" i="34"/>
  <c r="J134" i="34"/>
  <c r="Z31" i="35"/>
  <c r="T36" i="35"/>
  <c r="Z36" i="35" s="1"/>
  <c r="H85" i="31"/>
  <c r="J82" i="31"/>
  <c r="P97" i="25"/>
  <c r="X93" i="25"/>
  <c r="Z93" i="25" s="1"/>
  <c r="R93" i="25"/>
  <c r="H82" i="48"/>
  <c r="J79" i="48"/>
  <c r="N35" i="85"/>
  <c r="V166" i="18"/>
  <c r="Z72" i="57"/>
  <c r="T75" i="57"/>
  <c r="H35" i="81"/>
  <c r="N35" i="81" s="1"/>
  <c r="N32" i="81"/>
  <c r="T187" i="3"/>
  <c r="V182" i="3"/>
  <c r="D36" i="5"/>
  <c r="L31" i="5"/>
  <c r="H67" i="87"/>
  <c r="L67" i="87" s="1"/>
  <c r="L122" i="39"/>
  <c r="N122" i="39" s="1"/>
  <c r="D125" i="39"/>
  <c r="F122" i="39"/>
  <c r="P36" i="14"/>
  <c r="X31" i="14"/>
  <c r="Z31" i="93"/>
  <c r="T36" i="93"/>
  <c r="Z36" i="93" s="1"/>
  <c r="X66" i="64"/>
  <c r="R66" i="64"/>
  <c r="L32" i="81"/>
  <c r="H158" i="15"/>
  <c r="J155" i="15"/>
  <c r="D36" i="29"/>
  <c r="L31" i="29"/>
  <c r="H167" i="12"/>
  <c r="J164" i="12"/>
  <c r="H100" i="25"/>
  <c r="J97" i="25"/>
  <c r="T131" i="36"/>
  <c r="V128" i="36"/>
  <c r="N31" i="46"/>
  <c r="H36" i="46"/>
  <c r="N36" i="46" s="1"/>
  <c r="L31" i="8"/>
  <c r="D36" i="8"/>
  <c r="D36" i="14"/>
  <c r="L36" i="14" s="1"/>
  <c r="L31" i="14"/>
  <c r="T100" i="65"/>
  <c r="V97" i="65"/>
  <c r="L104" i="9"/>
  <c r="T36" i="46"/>
  <c r="Z36" i="46" s="1"/>
  <c r="Z31" i="46"/>
  <c r="P36" i="13"/>
  <c r="X31" i="13"/>
  <c r="T36" i="29"/>
  <c r="Z31" i="29"/>
  <c r="X31" i="29"/>
  <c r="L31" i="7"/>
  <c r="L182" i="3"/>
  <c r="N182" i="3" s="1"/>
  <c r="D187" i="3"/>
  <c r="F182" i="3"/>
  <c r="T96" i="73"/>
  <c r="V93" i="73"/>
  <c r="L32" i="85"/>
  <c r="N32" i="85" s="1"/>
  <c r="D35" i="85"/>
  <c r="L35" i="85" s="1"/>
  <c r="X31" i="44"/>
  <c r="P36" i="44"/>
  <c r="H36" i="24"/>
  <c r="N31" i="24"/>
  <c r="L31" i="24"/>
  <c r="P125" i="39"/>
  <c r="X122" i="39"/>
  <c r="Z122" i="39" s="1"/>
  <c r="R122" i="39"/>
  <c r="T43" i="89"/>
  <c r="Z43" i="89" s="1"/>
  <c r="Z40" i="89"/>
  <c r="D166" i="18"/>
  <c r="L163" i="18"/>
  <c r="N163" i="18" s="1"/>
  <c r="F163" i="18"/>
  <c r="P36" i="8"/>
  <c r="X36" i="8" s="1"/>
  <c r="X31" i="8"/>
  <c r="Z31" i="4"/>
  <c r="T36" i="4"/>
  <c r="Z36" i="4" s="1"/>
  <c r="P82" i="31"/>
  <c r="X78" i="31"/>
  <c r="Z78" i="31" s="1"/>
  <c r="R78" i="31"/>
  <c r="N31" i="35"/>
  <c r="H36" i="35"/>
  <c r="N36" i="35" s="1"/>
  <c r="P36" i="11"/>
  <c r="X31" i="11"/>
  <c r="P88" i="69"/>
  <c r="X85" i="69"/>
  <c r="R85" i="69"/>
  <c r="L93" i="90"/>
  <c r="N93" i="90" s="1"/>
  <c r="D97" i="90"/>
  <c r="F93" i="90"/>
  <c r="H36" i="50"/>
  <c r="N36" i="50" s="1"/>
  <c r="N31" i="50"/>
  <c r="H36" i="16"/>
  <c r="N36" i="16" s="1"/>
  <c r="N31" i="16"/>
  <c r="N31" i="23"/>
  <c r="H36" i="23"/>
  <c r="N36" i="23" s="1"/>
  <c r="P128" i="36"/>
  <c r="X124" i="36"/>
  <c r="Z124" i="36" s="1"/>
  <c r="R124" i="36"/>
  <c r="N31" i="29"/>
  <c r="H36" i="29"/>
  <c r="N36" i="29" s="1"/>
  <c r="T167" i="12"/>
  <c r="V164" i="12"/>
  <c r="P36" i="53"/>
  <c r="X31" i="53"/>
  <c r="N94" i="74"/>
  <c r="H97" i="74"/>
  <c r="J94" i="74"/>
  <c r="D36" i="23"/>
  <c r="L31" i="23"/>
  <c r="H82" i="92"/>
  <c r="J79" i="92"/>
  <c r="H85" i="68"/>
  <c r="J82" i="68"/>
  <c r="T88" i="51"/>
  <c r="V85" i="51"/>
  <c r="H100" i="90"/>
  <c r="J97" i="90"/>
  <c r="P36" i="38"/>
  <c r="X36" i="38" s="1"/>
  <c r="X31" i="38"/>
  <c r="P84" i="58"/>
  <c r="X84" i="58" s="1"/>
  <c r="Z84" i="58" s="1"/>
  <c r="X81" i="58"/>
  <c r="Z81" i="58" s="1"/>
  <c r="P82" i="56"/>
  <c r="X82" i="56" s="1"/>
  <c r="Z82" i="56" s="1"/>
  <c r="X79" i="56"/>
  <c r="Z79" i="56" s="1"/>
  <c r="D36" i="46"/>
  <c r="L31" i="46"/>
  <c r="H99" i="91"/>
  <c r="J96" i="91"/>
  <c r="L35" i="81"/>
  <c r="N31" i="41"/>
  <c r="H36" i="41"/>
  <c r="N36" i="41" s="1"/>
  <c r="P85" i="51"/>
  <c r="X81" i="51"/>
  <c r="Z81" i="51" s="1"/>
  <c r="R81" i="51"/>
  <c r="V85" i="68"/>
  <c r="D85" i="31"/>
  <c r="L82" i="31"/>
  <c r="N82" i="31" s="1"/>
  <c r="F82" i="31"/>
  <c r="L31" i="47"/>
  <c r="H84" i="71"/>
  <c r="J81" i="71"/>
  <c r="X64" i="87"/>
  <c r="Z64" i="87" s="1"/>
  <c r="X31" i="16"/>
  <c r="P129" i="28"/>
  <c r="X125" i="28"/>
  <c r="Z125" i="28" s="1"/>
  <c r="R125" i="28"/>
  <c r="J94" i="63"/>
  <c r="D82" i="68"/>
  <c r="L78" i="68"/>
  <c r="N78" i="68" s="1"/>
  <c r="F78" i="68"/>
  <c r="L31" i="37"/>
  <c r="D36" i="37"/>
  <c r="H98" i="83"/>
  <c r="J95" i="83"/>
  <c r="P97" i="65"/>
  <c r="X93" i="65"/>
  <c r="Z93" i="65" s="1"/>
  <c r="R93" i="65"/>
  <c r="D33" i="77"/>
  <c r="L33" i="77" s="1"/>
  <c r="L30" i="77"/>
  <c r="V101" i="76"/>
  <c r="P64" i="61"/>
  <c r="X64" i="61" s="1"/>
  <c r="Z64" i="61" s="1"/>
  <c r="X61" i="61"/>
  <c r="Z61" i="61" s="1"/>
  <c r="T89" i="78"/>
  <c r="Z86" i="78"/>
  <c r="D97" i="25"/>
  <c r="L93" i="25"/>
  <c r="N93" i="25" s="1"/>
  <c r="F93" i="25"/>
  <c r="P187" i="3"/>
  <c r="X182" i="3"/>
  <c r="Z182" i="3" s="1"/>
  <c r="R182" i="3"/>
  <c r="P36" i="7"/>
  <c r="X36" i="7" s="1"/>
  <c r="X31" i="7"/>
  <c r="T75" i="59"/>
  <c r="Z72" i="59"/>
  <c r="D98" i="83"/>
  <c r="L98" i="83" s="1"/>
  <c r="L95" i="83"/>
  <c r="N95" i="83" s="1"/>
  <c r="L64" i="87"/>
  <c r="N64" i="87" s="1"/>
  <c r="X97" i="21"/>
  <c r="Z97" i="21" s="1"/>
  <c r="P101" i="21"/>
  <c r="R97" i="21"/>
  <c r="D134" i="34"/>
  <c r="L130" i="34"/>
  <c r="N130" i="34" s="1"/>
  <c r="F130" i="34"/>
  <c r="L36" i="17" l="1"/>
  <c r="L36" i="4"/>
  <c r="X36" i="44"/>
  <c r="L36" i="7"/>
  <c r="L36" i="13"/>
  <c r="X36" i="16"/>
  <c r="X36" i="53"/>
  <c r="X36" i="94"/>
  <c r="L36" i="33"/>
  <c r="L36" i="94"/>
  <c r="X36" i="23"/>
  <c r="L36" i="93"/>
  <c r="X36" i="43"/>
  <c r="L36" i="5"/>
  <c r="L36" i="44"/>
  <c r="L36" i="37"/>
  <c r="L36" i="20"/>
  <c r="L36" i="32"/>
  <c r="X36" i="4"/>
  <c r="X36" i="10"/>
  <c r="L36" i="95"/>
  <c r="L36" i="30"/>
  <c r="X36" i="32"/>
  <c r="L36" i="52"/>
  <c r="L88" i="51"/>
  <c r="F88" i="51"/>
  <c r="J82" i="92"/>
  <c r="P131" i="36"/>
  <c r="X128" i="36"/>
  <c r="Z128" i="36" s="1"/>
  <c r="R128" i="36"/>
  <c r="X125" i="39"/>
  <c r="R125" i="39"/>
  <c r="V88" i="69"/>
  <c r="X43" i="86"/>
  <c r="R43" i="86"/>
  <c r="L82" i="48"/>
  <c r="F82" i="48"/>
  <c r="N31" i="6"/>
  <c r="N75" i="57"/>
  <c r="D94" i="63"/>
  <c r="L91" i="63"/>
  <c r="N91" i="63" s="1"/>
  <c r="F91" i="63"/>
  <c r="Z36" i="26"/>
  <c r="X36" i="26"/>
  <c r="J125" i="39"/>
  <c r="D100" i="25"/>
  <c r="L97" i="25"/>
  <c r="N97" i="25" s="1"/>
  <c r="F97" i="25"/>
  <c r="J100" i="90"/>
  <c r="N104" i="9"/>
  <c r="L43" i="86"/>
  <c r="F43" i="86"/>
  <c r="D100" i="90"/>
  <c r="L97" i="90"/>
  <c r="N97" i="90" s="1"/>
  <c r="F97" i="90"/>
  <c r="J167" i="12"/>
  <c r="L85" i="31"/>
  <c r="F85" i="31"/>
  <c r="N85" i="31"/>
  <c r="J85" i="31"/>
  <c r="J123" i="42"/>
  <c r="L43" i="89"/>
  <c r="F43" i="89"/>
  <c r="X36" i="35"/>
  <c r="L63" i="64"/>
  <c r="N63" i="64" s="1"/>
  <c r="D66" i="64"/>
  <c r="F63" i="64"/>
  <c r="X137" i="34"/>
  <c r="Z137" i="34" s="1"/>
  <c r="R137" i="34"/>
  <c r="Z31" i="6"/>
  <c r="X31" i="6"/>
  <c r="P85" i="68"/>
  <c r="X82" i="68"/>
  <c r="Z82" i="68" s="1"/>
  <c r="R82" i="68"/>
  <c r="X98" i="88"/>
  <c r="R98" i="88"/>
  <c r="L36" i="11"/>
  <c r="V85" i="31"/>
  <c r="J104" i="21"/>
  <c r="D104" i="21"/>
  <c r="L101" i="21"/>
  <c r="N101" i="21" s="1"/>
  <c r="F101" i="21"/>
  <c r="X93" i="73"/>
  <c r="Z93" i="73" s="1"/>
  <c r="P96" i="73"/>
  <c r="R93" i="73"/>
  <c r="J100" i="65"/>
  <c r="N88" i="51"/>
  <c r="J88" i="51"/>
  <c r="V100" i="65"/>
  <c r="L36" i="35"/>
  <c r="X120" i="67"/>
  <c r="Z120" i="67" s="1"/>
  <c r="R120" i="67"/>
  <c r="X81" i="71"/>
  <c r="Z81" i="71" s="1"/>
  <c r="P84" i="71"/>
  <c r="R81" i="71"/>
  <c r="V100" i="25"/>
  <c r="Z125" i="39"/>
  <c r="V125" i="39"/>
  <c r="P158" i="15"/>
  <c r="X155" i="15"/>
  <c r="Z155" i="15" s="1"/>
  <c r="R155" i="15"/>
  <c r="X98" i="76"/>
  <c r="Z98" i="76" s="1"/>
  <c r="P101" i="76"/>
  <c r="R98" i="76"/>
  <c r="P39" i="75"/>
  <c r="X36" i="75"/>
  <c r="Z36" i="75" s="1"/>
  <c r="R36" i="75"/>
  <c r="V123" i="42"/>
  <c r="P32" i="72"/>
  <c r="X29" i="72"/>
  <c r="Z29" i="72" s="1"/>
  <c r="R29" i="72"/>
  <c r="X91" i="63"/>
  <c r="Z91" i="63" s="1"/>
  <c r="P94" i="63"/>
  <c r="R91" i="63"/>
  <c r="J39" i="75"/>
  <c r="D99" i="91"/>
  <c r="L96" i="91"/>
  <c r="N96" i="91" s="1"/>
  <c r="F96" i="91"/>
  <c r="J98" i="88"/>
  <c r="L36" i="47"/>
  <c r="P132" i="28"/>
  <c r="X129" i="28"/>
  <c r="Z129" i="28" s="1"/>
  <c r="R129" i="28"/>
  <c r="L125" i="39"/>
  <c r="N125" i="39" s="1"/>
  <c r="F125" i="39"/>
  <c r="Z36" i="37"/>
  <c r="X36" i="37"/>
  <c r="D120" i="67"/>
  <c r="L117" i="67"/>
  <c r="N117" i="67" s="1"/>
  <c r="F117" i="67"/>
  <c r="V97" i="74"/>
  <c r="D100" i="65"/>
  <c r="L97" i="65"/>
  <c r="N97" i="65" s="1"/>
  <c r="F97" i="65"/>
  <c r="P100" i="65"/>
  <c r="X97" i="65"/>
  <c r="Z97" i="65" s="1"/>
  <c r="R97" i="65"/>
  <c r="N67" i="87"/>
  <c r="J96" i="73"/>
  <c r="L64" i="61"/>
  <c r="N64" i="61" s="1"/>
  <c r="L36" i="23"/>
  <c r="V167" i="12"/>
  <c r="L166" i="18"/>
  <c r="F166" i="18"/>
  <c r="N36" i="24"/>
  <c r="L36" i="24"/>
  <c r="V96" i="73"/>
  <c r="V131" i="36"/>
  <c r="L36" i="29"/>
  <c r="D98" i="88"/>
  <c r="L95" i="88"/>
  <c r="N95" i="88" s="1"/>
  <c r="F95" i="88"/>
  <c r="X36" i="52"/>
  <c r="N38" i="55"/>
  <c r="D101" i="76"/>
  <c r="L98" i="76"/>
  <c r="N98" i="76" s="1"/>
  <c r="F98" i="76"/>
  <c r="P97" i="74"/>
  <c r="X94" i="74"/>
  <c r="Z94" i="74" s="1"/>
  <c r="R94" i="74"/>
  <c r="L32" i="72"/>
  <c r="N32" i="72" s="1"/>
  <c r="F32" i="72"/>
  <c r="X36" i="17"/>
  <c r="N43" i="86"/>
  <c r="L104" i="82"/>
  <c r="F104" i="82"/>
  <c r="P167" i="12"/>
  <c r="X164" i="12"/>
  <c r="Z164" i="12" s="1"/>
  <c r="R164" i="12"/>
  <c r="Z66" i="64"/>
  <c r="X89" i="78"/>
  <c r="Z89" i="78" s="1"/>
  <c r="N89" i="78"/>
  <c r="Z82" i="92"/>
  <c r="V82" i="92"/>
  <c r="J32" i="72"/>
  <c r="N82" i="56"/>
  <c r="L82" i="56"/>
  <c r="N75" i="59"/>
  <c r="L31" i="54"/>
  <c r="N31" i="54" s="1"/>
  <c r="X36" i="95"/>
  <c r="D132" i="28"/>
  <c r="L129" i="28"/>
  <c r="N129" i="28" s="1"/>
  <c r="F129" i="28"/>
  <c r="N36" i="27"/>
  <c r="L36" i="27"/>
  <c r="P100" i="90"/>
  <c r="X97" i="90"/>
  <c r="Z97" i="90" s="1"/>
  <c r="R97" i="90"/>
  <c r="D158" i="15"/>
  <c r="L155" i="15"/>
  <c r="N155" i="15" s="1"/>
  <c r="F155" i="15"/>
  <c r="V88" i="51"/>
  <c r="N166" i="18"/>
  <c r="J166" i="18"/>
  <c r="D137" i="34"/>
  <c r="L134" i="34"/>
  <c r="N134" i="34" s="1"/>
  <c r="F134" i="34"/>
  <c r="J99" i="91"/>
  <c r="X36" i="13"/>
  <c r="V32" i="72"/>
  <c r="P123" i="42"/>
  <c r="X120" i="42"/>
  <c r="Z120" i="42" s="1"/>
  <c r="R120" i="42"/>
  <c r="L36" i="41"/>
  <c r="D82" i="92"/>
  <c r="L79" i="92"/>
  <c r="N79" i="92" s="1"/>
  <c r="F79" i="92"/>
  <c r="P104" i="82"/>
  <c r="X101" i="82"/>
  <c r="Z101" i="82" s="1"/>
  <c r="R101" i="82"/>
  <c r="X67" i="87"/>
  <c r="Z67" i="87" s="1"/>
  <c r="X36" i="5"/>
  <c r="L96" i="73"/>
  <c r="N96" i="73" s="1"/>
  <c r="F96" i="73"/>
  <c r="L81" i="71"/>
  <c r="N81" i="71" s="1"/>
  <c r="D84" i="71"/>
  <c r="F81" i="71"/>
  <c r="V158" i="15"/>
  <c r="P166" i="18"/>
  <c r="X163" i="18"/>
  <c r="Z163" i="18" s="1"/>
  <c r="R163" i="18"/>
  <c r="N60" i="84"/>
  <c r="Z43" i="86"/>
  <c r="X35" i="81"/>
  <c r="J131" i="36"/>
  <c r="D131" i="36"/>
  <c r="L128" i="36"/>
  <c r="N128" i="36" s="1"/>
  <c r="F128" i="36"/>
  <c r="D85" i="68"/>
  <c r="L82" i="68"/>
  <c r="N82" i="68" s="1"/>
  <c r="F82" i="68"/>
  <c r="Z36" i="29"/>
  <c r="X36" i="29"/>
  <c r="N82" i="48"/>
  <c r="J82" i="48"/>
  <c r="X187" i="3"/>
  <c r="Z187" i="3" s="1"/>
  <c r="R187" i="3"/>
  <c r="J84" i="71"/>
  <c r="X88" i="69"/>
  <c r="Z88" i="69" s="1"/>
  <c r="R88" i="69"/>
  <c r="P85" i="31"/>
  <c r="X82" i="31"/>
  <c r="Z82" i="31" s="1"/>
  <c r="R82" i="31"/>
  <c r="N98" i="83"/>
  <c r="J98" i="83"/>
  <c r="J85" i="68"/>
  <c r="J97" i="74"/>
  <c r="L187" i="3"/>
  <c r="N187" i="3" s="1"/>
  <c r="F187" i="3"/>
  <c r="L36" i="8"/>
  <c r="X36" i="14"/>
  <c r="P43" i="89"/>
  <c r="X40" i="89"/>
  <c r="R40" i="89"/>
  <c r="L36" i="16"/>
  <c r="D39" i="75"/>
  <c r="L36" i="75"/>
  <c r="N36" i="75" s="1"/>
  <c r="F36" i="75"/>
  <c r="X82" i="48"/>
  <c r="Z82" i="48" s="1"/>
  <c r="R82" i="48"/>
  <c r="J109" i="45"/>
  <c r="D167" i="12"/>
  <c r="L164" i="12"/>
  <c r="N164" i="12" s="1"/>
  <c r="F164" i="12"/>
  <c r="L36" i="43"/>
  <c r="D123" i="42"/>
  <c r="L120" i="42"/>
  <c r="N120" i="42" s="1"/>
  <c r="F120" i="42"/>
  <c r="V94" i="63"/>
  <c r="J187" i="3"/>
  <c r="J132" i="28"/>
  <c r="L36" i="49"/>
  <c r="Z60" i="84"/>
  <c r="P104" i="21"/>
  <c r="X101" i="21"/>
  <c r="Z101" i="21" s="1"/>
  <c r="R101" i="21"/>
  <c r="V187" i="3"/>
  <c r="P99" i="91"/>
  <c r="X96" i="91"/>
  <c r="Z96" i="91" s="1"/>
  <c r="R96" i="91"/>
  <c r="P88" i="51"/>
  <c r="X85" i="51"/>
  <c r="Z85" i="51" s="1"/>
  <c r="R85" i="51"/>
  <c r="L36" i="46"/>
  <c r="X36" i="11"/>
  <c r="J100" i="25"/>
  <c r="J158" i="15"/>
  <c r="P100" i="25"/>
  <c r="X97" i="25"/>
  <c r="Z97" i="25" s="1"/>
  <c r="R97" i="25"/>
  <c r="J137" i="34"/>
  <c r="J88" i="69"/>
  <c r="D109" i="45"/>
  <c r="L106" i="45"/>
  <c r="N106" i="45" s="1"/>
  <c r="F106" i="45"/>
  <c r="X75" i="57"/>
  <c r="Z75" i="57" s="1"/>
  <c r="L85" i="69"/>
  <c r="N85" i="69" s="1"/>
  <c r="D88" i="69"/>
  <c r="F85" i="69"/>
  <c r="X36" i="46"/>
  <c r="X35" i="85"/>
  <c r="Z35" i="85" s="1"/>
  <c r="L36" i="50"/>
  <c r="L36" i="26"/>
  <c r="Z98" i="88"/>
  <c r="V98" i="88"/>
  <c r="X36" i="93"/>
  <c r="N84" i="58"/>
  <c r="X75" i="59"/>
  <c r="Z75" i="59" s="1"/>
  <c r="L66" i="60"/>
  <c r="N66" i="60" s="1"/>
  <c r="Z36" i="20"/>
  <c r="X36" i="20"/>
  <c r="V100" i="90"/>
  <c r="Z109" i="45"/>
  <c r="V109" i="45"/>
  <c r="N104" i="82"/>
  <c r="J104" i="82"/>
  <c r="X35" i="80"/>
  <c r="Z35" i="80" s="1"/>
  <c r="L97" i="74"/>
  <c r="N97" i="74" s="1"/>
  <c r="F97" i="74"/>
  <c r="X31" i="54"/>
  <c r="Z31" i="54" s="1"/>
  <c r="J101" i="76"/>
  <c r="X36" i="49"/>
  <c r="L85" i="68" l="1"/>
  <c r="N85" i="68" s="1"/>
  <c r="F85" i="68"/>
  <c r="L98" i="88"/>
  <c r="N98" i="88" s="1"/>
  <c r="F98" i="88"/>
  <c r="L99" i="91"/>
  <c r="N99" i="91" s="1"/>
  <c r="F99" i="91"/>
  <c r="X32" i="72"/>
  <c r="Z32" i="72" s="1"/>
  <c r="R32" i="72"/>
  <c r="L109" i="45"/>
  <c r="N109" i="45" s="1"/>
  <c r="F109" i="45"/>
  <c r="X88" i="51"/>
  <c r="Z88" i="51" s="1"/>
  <c r="R88" i="51"/>
  <c r="X104" i="21"/>
  <c r="Z104" i="21" s="1"/>
  <c r="R104" i="21"/>
  <c r="L167" i="12"/>
  <c r="N167" i="12" s="1"/>
  <c r="F167" i="12"/>
  <c r="L82" i="92"/>
  <c r="N82" i="92" s="1"/>
  <c r="F82" i="92"/>
  <c r="X100" i="90"/>
  <c r="Z100" i="90" s="1"/>
  <c r="R100" i="90"/>
  <c r="L101" i="76"/>
  <c r="N101" i="76" s="1"/>
  <c r="F101" i="76"/>
  <c r="X132" i="28"/>
  <c r="Z132" i="28" s="1"/>
  <c r="R132" i="28"/>
  <c r="X84" i="71"/>
  <c r="Z84" i="71" s="1"/>
  <c r="R84" i="71"/>
  <c r="X85" i="31"/>
  <c r="Z85" i="31" s="1"/>
  <c r="R85" i="31"/>
  <c r="L131" i="36"/>
  <c r="N131" i="36" s="1"/>
  <c r="F131" i="36"/>
  <c r="X166" i="18"/>
  <c r="Z166" i="18" s="1"/>
  <c r="R166" i="18"/>
  <c r="X100" i="65"/>
  <c r="Z100" i="65" s="1"/>
  <c r="R100" i="65"/>
  <c r="L120" i="67"/>
  <c r="N120" i="67" s="1"/>
  <c r="F120" i="67"/>
  <c r="X158" i="15"/>
  <c r="Z158" i="15" s="1"/>
  <c r="R158" i="15"/>
  <c r="L104" i="21"/>
  <c r="N104" i="21" s="1"/>
  <c r="F104" i="21"/>
  <c r="X131" i="36"/>
  <c r="Z131" i="36" s="1"/>
  <c r="R131" i="36"/>
  <c r="L39" i="75"/>
  <c r="N39" i="75" s="1"/>
  <c r="F39" i="75"/>
  <c r="X94" i="63"/>
  <c r="Z94" i="63" s="1"/>
  <c r="R94" i="63"/>
  <c r="L66" i="64"/>
  <c r="N66" i="64" s="1"/>
  <c r="F66" i="64"/>
  <c r="L100" i="90"/>
  <c r="N100" i="90" s="1"/>
  <c r="F100" i="90"/>
  <c r="X100" i="25"/>
  <c r="Z100" i="25" s="1"/>
  <c r="R100" i="25"/>
  <c r="X99" i="91"/>
  <c r="Z99" i="91" s="1"/>
  <c r="R99" i="91"/>
  <c r="L123" i="42"/>
  <c r="N123" i="42" s="1"/>
  <c r="F123" i="42"/>
  <c r="X43" i="89"/>
  <c r="R43" i="89"/>
  <c r="X39" i="75"/>
  <c r="Z39" i="75" s="1"/>
  <c r="R39" i="75"/>
  <c r="X85" i="68"/>
  <c r="Z85" i="68" s="1"/>
  <c r="R85" i="68"/>
  <c r="L94" i="63"/>
  <c r="N94" i="63" s="1"/>
  <c r="F94" i="63"/>
  <c r="L88" i="69"/>
  <c r="N88" i="69" s="1"/>
  <c r="F88" i="69"/>
  <c r="X123" i="42"/>
  <c r="Z123" i="42" s="1"/>
  <c r="R123" i="42"/>
  <c r="X167" i="12"/>
  <c r="Z167" i="12" s="1"/>
  <c r="R167" i="12"/>
  <c r="L100" i="65"/>
  <c r="N100" i="65" s="1"/>
  <c r="F100" i="65"/>
  <c r="L100" i="25"/>
  <c r="N100" i="25" s="1"/>
  <c r="F100" i="25"/>
  <c r="L84" i="71"/>
  <c r="N84" i="71" s="1"/>
  <c r="F84" i="71"/>
  <c r="X104" i="82"/>
  <c r="Z104" i="82" s="1"/>
  <c r="R104" i="82"/>
  <c r="L137" i="34"/>
  <c r="N137" i="34" s="1"/>
  <c r="F137" i="34"/>
  <c r="L158" i="15"/>
  <c r="N158" i="15" s="1"/>
  <c r="F158" i="15"/>
  <c r="L132" i="28"/>
  <c r="N132" i="28" s="1"/>
  <c r="F132" i="28"/>
  <c r="X97" i="74"/>
  <c r="Z97" i="74" s="1"/>
  <c r="R97" i="74"/>
  <c r="X101" i="76"/>
  <c r="Z101" i="76" s="1"/>
  <c r="R101" i="76"/>
  <c r="X96" i="73"/>
  <c r="Z96" i="73" s="1"/>
  <c r="R96" i="7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<sst xmlns="http://schemas.openxmlformats.org/spreadsheetml/2006/main" count="2740" uniqueCount="316">
  <si>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</si>
  <si>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</si>
  <si>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</si>
  <si>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</si>
  <si>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</si>
  <si>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</si>
  <si>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</si>
  <si>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</si>
  <si>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</si>
  <si>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</si>
  <si>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</si>
  <si>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</si>
  <si>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</si>
  <si>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</si>
  <si>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</si>
  <si>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</si>
  <si>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</si>
  <si>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</si>
  <si>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</si>
  <si>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</si>
  <si>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</si>
  <si>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</si>
  <si>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</si>
  <si>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</si>
  <si>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</si>
  <si>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</si>
  <si>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</si>
  <si>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</si>
  <si>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</si>
  <si>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</si>
  <si>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</si>
  <si>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</si>
  <si>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</si>
  <si>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</si>
  <si>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</si>
  <si>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</si>
  <si>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</si>
  <si>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</si>
  <si>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</si>
  <si>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</si>
  <si>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</si>
  <si>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</si>
  <si>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</si>
  <si>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</si>
  <si>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</si>
  <si>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</si>
  <si>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</si>
  <si>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</si>
  <si>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</si>
  <si>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</si>
  <si>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</si>
  <si>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</si>
  <si>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</si>
  <si>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</si>
  <si>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</si>
  <si>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</si>
  <si>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</si>
  <si>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</si>
  <si>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</si>
  <si>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</si>
  <si>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</si>
  <si>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</si>
  <si>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</si>
  <si>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</si>
  <si>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</si>
  <si>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</si>
  <si>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</si>
  <si>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</si>
  <si>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</si>
  <si>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</si>
  <si>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</si>
  <si>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</si>
  <si>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</si>
  <si>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</si>
  <si>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</si>
  <si>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</si>
  <si>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</si>
  <si>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</si>
  <si>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</si>
  <si>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</si>
  <si>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</si>
  <si>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</si>
  <si>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</si>
  <si>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</si>
  <si>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</si>
  <si>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</si>
  <si>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</si>
  <si>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</si>
  <si>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</si>
  <si>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</si>
  <si>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</si>
  <si>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</si>
  <si>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</si>
  <si>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</si>
  <si>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</si>
  <si>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</si>
  <si>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</si>
  <si>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</si>
  <si>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</si>
  <si>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</si>
  <si>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</si>
  <si>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</si>
  <si>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</si>
  <si>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</si>
  <si>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</si>
  <si>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</si>
  <si>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</si>
  <si>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</si>
  <si>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</si>
  <si>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</si>
  <si>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</si>
  <si>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</si>
  <si>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</si>
  <si>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</si>
  <si>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</si>
  <si>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</si>
  <si>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</si>
  <si>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</si>
  <si>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</si>
  <si>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</si>
  <si>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</si>
  <si>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</si>
  <si>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</si>
  <si>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</si>
  <si>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</si>
  <si>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</si>
  <si>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</si>
  <si>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</si>
  <si>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</si>
  <si>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</si>
  <si>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</si>
  <si>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</si>
  <si>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</si>
  <si>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</si>
  <si>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</si>
  <si>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</si>
  <si>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</si>
  <si>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</si>
  <si>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</si>
  <si>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</si>
  <si>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</si>
  <si>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</si>
  <si>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</si>
  <si>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</si>
  <si>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</si>
  <si>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</si>
  <si>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</si>
  <si>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</si>
  <si>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</si>
  <si>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</si>
  <si>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</si>
  <si>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</si>
  <si>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</si>
  <si>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</si>
  <si>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</si>
  <si>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</si>
  <si>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</si>
  <si>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</si>
  <si>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</si>
  <si>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</si>
  <si>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</si>
  <si>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</si>
  <si>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</si>
  <si>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</si>
  <si>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</si>
  <si>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</si>
  <si>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</si>
  <si>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</si>
  <si>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</si>
  <si>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</si>
  <si>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</si>
  <si>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</si>
  <si>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</si>
  <si>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</si>
  <si>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</si>
  <si>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</si>
  <si>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</si>
  <si>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</si>
  <si>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</si>
  <si>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</si>
  <si>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</si>
  <si>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</si>
  <si>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</si>
  <si>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</si>
  <si>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</si>
  <si>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</si>
  <si>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</si>
  <si>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</si>
  <si>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</si>
  <si>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</si>
  <si>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</si>
  <si>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</si>
  <si>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</si>
  <si>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</si>
  <si>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</si>
  <si>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</si>
  <si>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</si>
  <si>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</si>
  <si>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</si>
  <si>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</si>
  <si>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</si>
  <si>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</si>
  <si>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</si>
  <si>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</si>
  <si>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</si>
  <si>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</si>
  <si>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</si>
  <si>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</si>
  <si>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</si>
  <si>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</si>
  <si>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</si>
  <si>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</si>
  <si>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</si>
  <si>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</si>
  <si>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</si>
  <si>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</si>
  <si>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</si>
  <si>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</si>
  <si>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</si>
  <si>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</si>
  <si>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</si>
  <si>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</si>
  <si>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</si>
  <si>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</si>
  <si>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</si>
  <si>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</si>
  <si>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</si>
  <si>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</si>
  <si>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</si>
  <si>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</si>
  <si>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</si>
  <si>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</si>
  <si>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</si>
  <si>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</si>
  <si>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</si>
  <si>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</si>
  <si>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</si>
  <si>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</si>
  <si>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</si>
  <si>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</si>
  <si>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</si>
  <si>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</si>
  <si>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</si>
  <si>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</si>
  <si>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</si>
  <si>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</si>
  <si>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</si>
  <si>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</si>
  <si>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</si>
  <si>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</si>
  <si>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</si>
  <si>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</si>
  <si>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</si>
  <si>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</si>
  <si>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</si>
  <si>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</si>
  <si>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</si>
  <si>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</si>
  <si>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</si>
  <si>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</si>
  <si>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</si>
  <si>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</si>
  <si>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</si>
  <si>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</si>
  <si>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</si>
  <si>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</si>
  <si>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</si>
  <si>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</si>
  <si>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</si>
  <si>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</si>
  <si>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</si>
  <si>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</si>
  <si>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</si>
  <si>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</si>
  <si>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</si>
  <si>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</si>
  <si>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</si>
  <si>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</si>
  <si>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</si>
  <si>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</si>
  <si>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</si>
  <si>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</si>
  <si>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</si>
  <si>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Budget</t>
  </si>
  <si>
    <t>% Budget Sales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</si>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</sst>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mmm\ d\,\ yyyy;@"/>
    <numFmt numFmtId="168" formatCode="[$-409]m/d/yy\ h:mm\ AM/PM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8"/>
      <color theme="0" tint="-0.499984740745262"/>
      <name val="Calibri"/>
      <scheme val="minor"/>
    </font>
    <font>
      <b/>
      <sz val="12"/>
      <color theme="1"/>
      <name val="Calibri"/>
      <scheme val="minor"/>
    </font>
    <font>
      <sz val="11"/>
      <color theme="0" tint="-0.499984740745262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2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5" fontId="3" fillId="0" borderId="0" xfId="3" applyNumberFormat="1" applyFont="1" applyAlignment="1"/>
    <xf numFmtId="164" fontId="3" fillId="0" borderId="0" xfId="1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164" fontId="0" fillId="0" borderId="0" xfId="1" applyNumberFormat="1" applyFont="1" applyAlignment="1"/>
    <xf numFmtId="0" fontId="0" fillId="0" borderId="0" xfId="0" applyNumberFormat="1" applyFont="1" applyAlignment="1">
      <alignment horizontal="left"/>
    </xf>
    <xf numFmtId="165" fontId="3" fillId="0" borderId="0" xfId="3" applyNumberFormat="1" applyFont="1" applyAlignment="1"/>
    <xf numFmtId="165" fontId="2" fillId="2" borderId="2" xfId="3" applyNumberFormat="1" applyFont="1" applyFill="1" applyBorder="1" applyAlignment="1"/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0" fontId="2" fillId="0" borderId="0" xfId="0" applyNumberFormat="1" applyFont="1"/>
    <xf numFmtId="49" fontId="3" fillId="0" borderId="0" xfId="0" applyNumberFormat="1" applyFont="1" applyAlignment="1">
      <alignment horizontal="right"/>
    </xf>
    <xf numFmtId="49" fontId="0" fillId="0" borderId="0" xfId="0" applyNumberFormat="1" applyFont="1" applyAlignment="1">
      <alignment horizontal="right"/>
    </xf>
    <xf numFmtId="0" fontId="2" fillId="0" borderId="0" xfId="0" applyNumberFormat="1" applyFont="1" applyAlignment="1">
      <alignment horizontal="left"/>
    </xf>
    <xf numFmtId="0" fontId="2" fillId="2" borderId="0" xfId="0" applyNumberFormat="1" applyFont="1" applyFill="1" applyAlignment="1">
      <alignment horizontal="left"/>
    </xf>
    <xf numFmtId="49" fontId="2" fillId="0" borderId="0" xfId="0" applyNumberFormat="1" applyFont="1" applyAlignment="1">
      <alignment horizontal="center"/>
    </xf>
    <xf numFmtId="166" fontId="2" fillId="2" borderId="3" xfId="2" applyNumberFormat="1" applyFont="1" applyFill="1" applyBorder="1" applyAlignment="1"/>
    <xf numFmtId="165" fontId="2" fillId="0" borderId="0" xfId="3" applyNumberFormat="1" applyFont="1" applyAlignment="1"/>
    <xf numFmtId="165" fontId="2" fillId="2" borderId="4" xfId="3" applyNumberFormat="1" applyFont="1" applyFill="1" applyBorder="1" applyAlignment="1"/>
    <xf numFmtId="165" fontId="2" fillId="2" borderId="3" xfId="3" applyNumberFormat="1" applyFont="1" applyFill="1" applyBorder="1" applyAlignment="1"/>
    <xf numFmtId="166" fontId="2" fillId="2" borderId="4" xfId="2" applyNumberFormat="1" applyFont="1" applyFill="1" applyBorder="1" applyAlignment="1"/>
    <xf numFmtId="0" fontId="0" fillId="0" borderId="0" xfId="0" applyNumberFormat="1" applyFont="1"/>
    <xf numFmtId="165" fontId="2" fillId="2" borderId="1" xfId="3" applyNumberFormat="1" applyFont="1" applyFill="1" applyBorder="1" applyAlignment="1">
      <alignment horizontal="center"/>
    </xf>
    <xf numFmtId="165" fontId="0" fillId="0" borderId="0" xfId="0" applyNumberFormat="1" applyFont="1" applyAlignment="1">
      <alignment horizontal="left"/>
    </xf>
    <xf numFmtId="165" fontId="2" fillId="2" borderId="1" xfId="3" applyNumberFormat="1" applyFont="1" applyFill="1" applyBorder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165" fontId="0" fillId="0" borderId="0" xfId="1" applyNumberFormat="1" applyFont="1" applyAlignment="1"/>
    <xf numFmtId="0" fontId="2" fillId="2" borderId="1" xfId="0" applyNumberFormat="1" applyFont="1" applyFill="1" applyBorder="1" applyAlignment="1">
      <alignment horizontal="center"/>
    </xf>
    <xf numFmtId="49" fontId="3" fillId="0" borderId="0" xfId="0" applyNumberFormat="1" applyFont="1"/>
    <xf numFmtId="0" fontId="2" fillId="2" borderId="1" xfId="0" applyNumberFormat="1" applyFont="1" applyFill="1" applyBorder="1" applyAlignment="1">
      <alignment horizontal="center"/>
    </xf>
    <xf numFmtId="165" fontId="0" fillId="0" borderId="0" xfId="3" applyNumberFormat="1" applyFont="1" applyAlignment="1">
      <alignment horizontal="left"/>
    </xf>
    <xf numFmtId="165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165" fontId="2" fillId="2" borderId="1" xfId="0" applyNumberFormat="1" applyFont="1" applyFill="1" applyBorder="1" applyAlignment="1">
      <alignment horizontal="left"/>
    </xf>
    <xf numFmtId="165" fontId="0" fillId="0" borderId="0" xfId="0" applyNumberFormat="1" applyFont="1"/>
    <xf numFmtId="49" fontId="2" fillId="0" borderId="0" xfId="0" applyNumberFormat="1" applyFont="1"/>
    <xf numFmtId="0" fontId="4" fillId="0" borderId="0" xfId="0" applyNumberFormat="1" applyFont="1" applyAlignment="1">
      <alignment horizontal="left"/>
    </xf>
    <xf numFmtId="0" fontId="2" fillId="0" borderId="0" xfId="0" applyNumberFormat="1" applyFont="1"/>
    <xf numFmtId="0" fontId="0" fillId="0" borderId="0" xfId="0" applyNumberFormat="1" applyFont="1" applyAlignment="1">
      <alignment horizontal="left"/>
    </xf>
    <xf numFmtId="167" fontId="0" fillId="0" borderId="0" xfId="0" applyNumberFormat="1" applyFont="1"/>
    <xf numFmtId="168" fontId="4" fillId="0" borderId="0" xfId="0" applyNumberFormat="1" applyFont="1" applyAlignment="1">
      <alignment horizontal="left"/>
    </xf>
    <xf numFmtId="0" fontId="5" fillId="0" borderId="0" xfId="0" applyNumberFormat="1" applyFont="1"/>
    <xf numFmtId="49" fontId="2" fillId="2" borderId="1" xfId="0" applyNumberFormat="1" applyFont="1" applyFill="1" applyBorder="1" applyAlignment="1">
      <alignment horizontal="center"/>
    </xf>
    <xf numFmtId="164" fontId="2" fillId="0" borderId="0" xfId="1" applyNumberFormat="1" applyFont="1" applyAlignment="1">
      <alignment horizontal="left"/>
    </xf>
    <xf numFmtId="0" fontId="6" fillId="0" borderId="0" xfId="0" applyNumberFormat="1" applyFont="1"/>
    <xf numFmtId="0" fontId="2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80EA-3A2C-4ADD-E37C-EE6CF0FAA388}">
  <dimension ref="A1:DZ3"/>
  <sheetViews>
    <sheetView showGridLines="0" defaultGridColor="0" colorId="8" workbookViewId="0"/>
  </sheetViews>
  <sheetFormatPr defaultRowHeight="15" customHeight="1" x14ac:dyDescent="0.25"/>
  <cols>
    <col min="1" max="130" width="20.7109375" style="66" customWidth="1"/>
  </cols>
  <sheetData>
    <row r="1" spans="1:130" ht="15" customHeight="1" x14ac:dyDescent="0.25">
      <c r="B1" s="1">
        <v>4</v>
      </c>
    </row>
    <row r="3" spans="1:130" ht="30" customHeight="1" x14ac:dyDescent="0.25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74591-7FBF-230B-87DA-CE6B09850D9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300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E6E93-5777-8B1E-E265-662FA375481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301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F9D9F-B492-6634-BFD6-13AA3EDDFA83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301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B3B38-1471-2AF7-DBDE-9E83AFBDF3D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302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EB81B-B485-F548-563D-4A38CBC7D1A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302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9BEB1-F758-B884-EF11-00B9BC4E47A8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303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846034-C2CA-F136-E7F5-96714D5883BE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303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6B1AA-B75F-6B7E-CBB9-09B4EF9623F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304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86E27-76B9-0146-EFAE-AB16E8FC14C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304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90826-F296-A3E4-D45E-3CFE8129F57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305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4364A-07AC-51E1-50B1-A311637F47CB}">
  <dimension ref="A1:JL10002"/>
  <sheetViews>
    <sheetView showGridLines="0" defaultGridColor="0" colorId="8" workbookViewId="0"/>
  </sheetViews>
  <sheetFormatPr defaultRowHeight="15" customHeight="1" x14ac:dyDescent="0.25"/>
  <cols>
    <col min="1" max="220" width="20.7109375" style="66" customWidth="1"/>
    <col min="221" max="221" width="20.7109375" style="71" customWidth="1"/>
    <col min="222" max="223" width="20.7109375" style="66" customWidth="1"/>
  </cols>
  <sheetData>
    <row r="1" spans="1:272" ht="15" customHeight="1" x14ac:dyDescent="0.25">
      <c r="D1" s="1">
        <v>4</v>
      </c>
    </row>
    <row r="2" spans="1:272" ht="15" customHeight="1" x14ac:dyDescent="0.25">
      <c r="JK2" s="1">
        <v>271</v>
      </c>
      <c r="JL2" s="1">
        <v>4</v>
      </c>
    </row>
    <row r="3" spans="1:272" ht="30" customHeight="1" x14ac:dyDescent="0.25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2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25">
      <c r="JK10001">
        <v>271</v>
      </c>
      <c r="JL10001">
        <v>10003</v>
      </c>
    </row>
    <row r="10002" spans="271:272" ht="45" customHeight="1" x14ac:dyDescent="0.25">
      <c r="JK10002" s="39" t="s">
        <v>274</v>
      </c>
      <c r="JL10002" s="3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646B6-ACD7-BB6D-95E1-8B8D200072D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306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31F82-B95E-5A0B-E742-DB86FF5E5662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306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FF966-C569-70A4-5654-67C9159AF5A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307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91D04-6223-2E27-B114-EA7344D471B6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307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4A769-3F29-DD05-E8D6-6E468249884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308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5FB01-D352-6181-B9CC-5839BC52C251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308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1FAF9-3755-9C21-870A-A4FA5569716A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309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35396-852A-CEFB-682F-FABACF9B58FC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310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24552-B37E-346C-EFC3-92EC12D37594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310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55C3C-B9ED-27C2-5361-F799E781B62C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311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AB457-C14A-D5B7-077A-A4FBB00A6375}">
  <sheetPr>
    <tabColor rgb="FF00B0F0"/>
    <outlinePr summaryBelow="0" summaryRight="0"/>
  </sheetPr>
  <dimension ref="A2:Z192"/>
  <sheetViews>
    <sheetView showGridLines="0" tabSelected="1" defaultGridColor="0" colorId="8" zoomScale="80" workbookViewId="0">
      <pane xSplit="3" ySplit="10" topLeftCell="D10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278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2204775.58</v>
      </c>
      <c r="E12" s="5"/>
      <c r="F12" s="13"/>
      <c r="G12" s="5"/>
      <c r="H12" s="5">
        <f>SUM(OSRRefH13x_0)</f>
        <v>1696220</v>
      </c>
      <c r="I12" s="5"/>
      <c r="J12" s="13"/>
      <c r="K12" s="5"/>
      <c r="L12" s="5">
        <f t="shared" ref="L12:L25" si="0">+D12-H12</f>
        <v>508555.58000000007</v>
      </c>
      <c r="M12" s="5"/>
      <c r="N12" s="13">
        <f t="shared" ref="N12:N25" si="1">IF(H12=0,0,L12/H12)</f>
        <v>0.29981699307872806</v>
      </c>
      <c r="O12" s="11"/>
      <c r="P12" s="5">
        <f>SUM(OSRRefP13x_0)</f>
        <v>24064553.359999999</v>
      </c>
      <c r="Q12" s="5"/>
      <c r="R12" s="13"/>
      <c r="S12" s="5"/>
      <c r="T12" s="5">
        <f>SUM(OSRRefT13x_0)</f>
        <v>22756437</v>
      </c>
      <c r="U12" s="5"/>
      <c r="V12" s="13"/>
      <c r="W12" s="5"/>
      <c r="X12" s="5">
        <f t="shared" ref="X12:X25" si="2">+P12-T12</f>
        <v>1308116.3599999994</v>
      </c>
      <c r="Y12" s="5"/>
      <c r="Z12" s="13">
        <f t="shared" ref="Z12:Z25" si="3">IF(T12=0,0,X12/T12)</f>
        <v>5.7483355588574758E-2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--1264812.81</f>
        <v>1264812.81</v>
      </c>
      <c r="E13" s="3"/>
      <c r="F13" s="20"/>
      <c r="G13" s="3"/>
      <c r="H13" s="3">
        <v>834282</v>
      </c>
      <c r="I13" s="3"/>
      <c r="J13" s="20"/>
      <c r="K13" s="3"/>
      <c r="L13" s="3">
        <f t="shared" si="0"/>
        <v>430530.81000000006</v>
      </c>
      <c r="M13" s="3"/>
      <c r="N13" s="20">
        <f t="shared" si="1"/>
        <v>0.5160495012477796</v>
      </c>
      <c r="O13" s="12"/>
      <c r="P13" s="3">
        <f>--8996661.56</f>
        <v>8996661.5600000005</v>
      </c>
      <c r="Q13" s="3"/>
      <c r="R13" s="20"/>
      <c r="S13" s="3"/>
      <c r="T13" s="3">
        <v>11184692</v>
      </c>
      <c r="U13" s="3"/>
      <c r="V13" s="20"/>
      <c r="W13" s="3"/>
      <c r="X13" s="3">
        <f t="shared" si="2"/>
        <v>-2188030.4399999995</v>
      </c>
      <c r="Y13" s="3"/>
      <c r="Z13" s="20">
        <f t="shared" si="3"/>
        <v>-0.19562724123292796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--27103.03</f>
        <v>27103.03</v>
      </c>
      <c r="E14" s="3"/>
      <c r="F14" s="20"/>
      <c r="G14" s="3"/>
      <c r="H14" s="3"/>
      <c r="I14" s="3"/>
      <c r="J14" s="20"/>
      <c r="K14" s="3"/>
      <c r="L14" s="3">
        <f t="shared" si="0"/>
        <v>27103.03</v>
      </c>
      <c r="M14" s="3"/>
      <c r="N14" s="20">
        <f t="shared" si="1"/>
        <v>0</v>
      </c>
      <c r="O14" s="12"/>
      <c r="P14" s="3">
        <f>--346036.45</f>
        <v>346036.45</v>
      </c>
      <c r="Q14" s="3"/>
      <c r="R14" s="20"/>
      <c r="S14" s="3"/>
      <c r="T14" s="3"/>
      <c r="U14" s="3"/>
      <c r="V14" s="20"/>
      <c r="W14" s="3"/>
      <c r="X14" s="3">
        <f t="shared" si="2"/>
        <v>346036.45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--1064.77</f>
        <v>1064.77</v>
      </c>
      <c r="E15" s="3"/>
      <c r="F15" s="20"/>
      <c r="G15" s="3"/>
      <c r="H15" s="3"/>
      <c r="I15" s="3"/>
      <c r="J15" s="20"/>
      <c r="K15" s="3"/>
      <c r="L15" s="3">
        <f t="shared" si="0"/>
        <v>1064.77</v>
      </c>
      <c r="M15" s="3"/>
      <c r="N15" s="20">
        <f t="shared" si="1"/>
        <v>0</v>
      </c>
      <c r="O15" s="12"/>
      <c r="P15" s="3">
        <f>--31189.03</f>
        <v>31189.03</v>
      </c>
      <c r="Q15" s="3"/>
      <c r="R15" s="20"/>
      <c r="S15" s="3"/>
      <c r="T15" s="3"/>
      <c r="U15" s="3"/>
      <c r="V15" s="20"/>
      <c r="W15" s="3"/>
      <c r="X15" s="3">
        <f t="shared" si="2"/>
        <v>31189.03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--514.53</f>
        <v>514.53</v>
      </c>
      <c r="E16" s="3"/>
      <c r="F16" s="20"/>
      <c r="G16" s="3"/>
      <c r="H16" s="3"/>
      <c r="I16" s="3"/>
      <c r="J16" s="20"/>
      <c r="K16" s="3"/>
      <c r="L16" s="3">
        <f t="shared" si="0"/>
        <v>514.53</v>
      </c>
      <c r="M16" s="3"/>
      <c r="N16" s="20">
        <f t="shared" si="1"/>
        <v>0</v>
      </c>
      <c r="O16" s="12"/>
      <c r="P16" s="3">
        <f>--2070.63</f>
        <v>2070.63</v>
      </c>
      <c r="Q16" s="3"/>
      <c r="R16" s="20"/>
      <c r="S16" s="3"/>
      <c r="T16" s="3"/>
      <c r="U16" s="3"/>
      <c r="V16" s="20"/>
      <c r="W16" s="3"/>
      <c r="X16" s="3">
        <f t="shared" si="2"/>
        <v>2070.63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","4100"," - ","NON-TAXABLE SALES")</f>
        <v xml:space="preserve">          4100 - NON-TAXABLE SALES</v>
      </c>
      <c r="C17" s="12"/>
      <c r="D17" s="3">
        <f>--228555.64</f>
        <v>228555.64</v>
      </c>
      <c r="E17" s="3"/>
      <c r="F17" s="20"/>
      <c r="G17" s="3"/>
      <c r="H17" s="3">
        <v>861938</v>
      </c>
      <c r="I17" s="3"/>
      <c r="J17" s="20"/>
      <c r="K17" s="3"/>
      <c r="L17" s="3">
        <f t="shared" si="0"/>
        <v>-633382.36</v>
      </c>
      <c r="M17" s="3"/>
      <c r="N17" s="20">
        <f t="shared" si="1"/>
        <v>-0.7348351737595975</v>
      </c>
      <c r="O17" s="12"/>
      <c r="P17" s="3">
        <f>--2861228.1</f>
        <v>2861228.1</v>
      </c>
      <c r="Q17" s="3"/>
      <c r="R17" s="20"/>
      <c r="S17" s="3"/>
      <c r="T17" s="3">
        <v>11571745</v>
      </c>
      <c r="U17" s="3"/>
      <c r="V17" s="20"/>
      <c r="W17" s="3"/>
      <c r="X17" s="3">
        <f t="shared" si="2"/>
        <v>-8710516.9000000004</v>
      </c>
      <c r="Y17" s="3"/>
      <c r="Z17" s="20">
        <f t="shared" si="3"/>
        <v>-0.7527401355629596</v>
      </c>
    </row>
    <row r="18" spans="1:26" s="70" customFormat="1" ht="15" hidden="1" customHeight="1" outlineLevel="1" x14ac:dyDescent="0.25">
      <c r="A18" s="42"/>
      <c r="B18" s="12" t="str">
        <f>CONCATENATE("          ","4141"," - ","NON-TAXABLE SALES-LOGO GIFTS")</f>
        <v xml:space="preserve">          4141 - NON-TAXABLE SALES-LOGO GIFTS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25">
      <c r="A19" s="42"/>
      <c r="B19" s="12" t="str">
        <f>CONCATENATE("          ","4146"," - ","NON-TAXABLE SALES-COIN OP MACH")</f>
        <v xml:space="preserve">          4146 - NON-TAXABLE SALES-COIN OP MACH</v>
      </c>
      <c r="C19" s="12"/>
      <c r="D19" s="3">
        <f>0</f>
        <v>0</v>
      </c>
      <c r="E19" s="3"/>
      <c r="F19" s="20"/>
      <c r="G19" s="3"/>
      <c r="H19" s="3"/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/>
      <c r="U19" s="3"/>
      <c r="V19" s="20"/>
      <c r="W19" s="3"/>
      <c r="X19" s="3">
        <f t="shared" si="2"/>
        <v>0</v>
      </c>
      <c r="Y19" s="3"/>
      <c r="Z19" s="20">
        <f t="shared" si="3"/>
        <v>0</v>
      </c>
    </row>
    <row r="20" spans="1:26" s="70" customFormat="1" ht="15" hidden="1" customHeight="1" outlineLevel="1" x14ac:dyDescent="0.25">
      <c r="A20" s="42"/>
      <c r="B20" s="12" t="str">
        <f>CONCATENATE("          ","4151"," - ","NON-TAXABLE SALES-FOOD")</f>
        <v xml:space="preserve">          4151 - NON-TAXABLE SALES-FOOD</v>
      </c>
      <c r="C20" s="12"/>
      <c r="D20" s="3">
        <f>--773084.43</f>
        <v>773084.43</v>
      </c>
      <c r="E20" s="3"/>
      <c r="F20" s="20"/>
      <c r="G20" s="3"/>
      <c r="H20" s="3"/>
      <c r="I20" s="3"/>
      <c r="J20" s="20"/>
      <c r="K20" s="3"/>
      <c r="L20" s="3">
        <f t="shared" si="0"/>
        <v>773084.43</v>
      </c>
      <c r="M20" s="3"/>
      <c r="N20" s="20">
        <f t="shared" si="1"/>
        <v>0</v>
      </c>
      <c r="O20" s="12"/>
      <c r="P20" s="3">
        <f>--12624987.46</f>
        <v>12624987.460000001</v>
      </c>
      <c r="Q20" s="3"/>
      <c r="R20" s="20"/>
      <c r="S20" s="3"/>
      <c r="T20" s="3"/>
      <c r="U20" s="3"/>
      <c r="V20" s="20"/>
      <c r="W20" s="3"/>
      <c r="X20" s="3">
        <f t="shared" si="2"/>
        <v>12624987.460000001</v>
      </c>
      <c r="Y20" s="3"/>
      <c r="Z20" s="20">
        <f t="shared" si="3"/>
        <v>0</v>
      </c>
    </row>
    <row r="21" spans="1:26" s="70" customFormat="1" ht="15" hidden="1" customHeight="1" outlineLevel="1" x14ac:dyDescent="0.25">
      <c r="A21" s="42"/>
      <c r="B21" s="12" t="str">
        <f>CONCATENATE("          ","4153"," - ","NON-TAXABLE SALES-FOOD")</f>
        <v xml:space="preserve">          4153 - NON-TAXABLE SALES-FOOD</v>
      </c>
      <c r="C21" s="12"/>
      <c r="D21" s="3">
        <f>--6068.42</f>
        <v>6068.42</v>
      </c>
      <c r="E21" s="3"/>
      <c r="F21" s="20"/>
      <c r="G21" s="3"/>
      <c r="H21" s="3"/>
      <c r="I21" s="3"/>
      <c r="J21" s="20"/>
      <c r="K21" s="3"/>
      <c r="L21" s="3">
        <f t="shared" si="0"/>
        <v>6068.42</v>
      </c>
      <c r="M21" s="3"/>
      <c r="N21" s="20">
        <f t="shared" si="1"/>
        <v>0</v>
      </c>
      <c r="O21" s="12"/>
      <c r="P21" s="3">
        <f>--118114.99</f>
        <v>118114.99</v>
      </c>
      <c r="Q21" s="3"/>
      <c r="R21" s="20"/>
      <c r="S21" s="3"/>
      <c r="T21" s="3"/>
      <c r="U21" s="3"/>
      <c r="V21" s="20"/>
      <c r="W21" s="3"/>
      <c r="X21" s="3">
        <f t="shared" si="2"/>
        <v>118114.99</v>
      </c>
      <c r="Y21" s="3"/>
      <c r="Z21" s="20">
        <f t="shared" si="3"/>
        <v>0</v>
      </c>
    </row>
    <row r="22" spans="1:26" s="70" customFormat="1" ht="15" hidden="1" customHeight="1" outlineLevel="1" x14ac:dyDescent="0.25">
      <c r="A22" s="42"/>
      <c r="B22" s="12" t="str">
        <f>CONCATENATE("          ","4155"," - ","NON-TAXABLE SALES-FOOD")</f>
        <v xml:space="preserve">          4155 - NON-TAXABLE SALES-FOOD</v>
      </c>
      <c r="C22" s="12"/>
      <c r="D22" s="3">
        <f>--884.09</f>
        <v>884.09</v>
      </c>
      <c r="E22" s="3"/>
      <c r="F22" s="20"/>
      <c r="G22" s="3"/>
      <c r="H22" s="3"/>
      <c r="I22" s="3"/>
      <c r="J22" s="20"/>
      <c r="K22" s="3"/>
      <c r="L22" s="3">
        <f t="shared" si="0"/>
        <v>884.09</v>
      </c>
      <c r="M22" s="3"/>
      <c r="N22" s="20">
        <f t="shared" si="1"/>
        <v>0</v>
      </c>
      <c r="O22" s="12"/>
      <c r="P22" s="3">
        <f>--4683.41</f>
        <v>4683.41</v>
      </c>
      <c r="Q22" s="3"/>
      <c r="R22" s="20"/>
      <c r="S22" s="3"/>
      <c r="T22" s="3"/>
      <c r="U22" s="3"/>
      <c r="V22" s="20"/>
      <c r="W22" s="3"/>
      <c r="X22" s="3">
        <f t="shared" si="2"/>
        <v>4683.41</v>
      </c>
      <c r="Y22" s="3"/>
      <c r="Z22" s="20">
        <f t="shared" si="3"/>
        <v>0</v>
      </c>
    </row>
    <row r="23" spans="1:26" s="70" customFormat="1" ht="15" hidden="1" customHeight="1" outlineLevel="1" x14ac:dyDescent="0.25">
      <c r="A23" s="42"/>
      <c r="B23" s="12" t="str">
        <f>CONCATENATE("          ","4200"," - ","TAXABLE RETURNS")</f>
        <v xml:space="preserve">          4200 - TAXABLE RETURNS</v>
      </c>
      <c r="C23" s="12"/>
      <c r="D23" s="3">
        <f>-75304.99</f>
        <v>-75304.990000000005</v>
      </c>
      <c r="E23" s="3"/>
      <c r="F23" s="20"/>
      <c r="G23" s="3"/>
      <c r="H23" s="3"/>
      <c r="I23" s="3"/>
      <c r="J23" s="20"/>
      <c r="K23" s="3"/>
      <c r="L23" s="3">
        <f t="shared" si="0"/>
        <v>-75304.990000000005</v>
      </c>
      <c r="M23" s="3"/>
      <c r="N23" s="20">
        <f t="shared" si="1"/>
        <v>0</v>
      </c>
      <c r="O23" s="12"/>
      <c r="P23" s="3">
        <f>-748175.6</f>
        <v>-748175.6</v>
      </c>
      <c r="Q23" s="3"/>
      <c r="R23" s="20"/>
      <c r="S23" s="3"/>
      <c r="T23" s="3"/>
      <c r="U23" s="3"/>
      <c r="V23" s="20"/>
      <c r="W23" s="3"/>
      <c r="X23" s="3">
        <f t="shared" si="2"/>
        <v>-748175.6</v>
      </c>
      <c r="Y23" s="3"/>
      <c r="Z23" s="20">
        <f t="shared" si="3"/>
        <v>0</v>
      </c>
    </row>
    <row r="24" spans="1:26" s="70" customFormat="1" ht="15" hidden="1" customHeight="1" outlineLevel="1" x14ac:dyDescent="0.25">
      <c r="A24" s="42"/>
      <c r="B24" s="12" t="str">
        <f>CONCATENATE("          ","4300"," - ","NON-TAX RETURNS")</f>
        <v xml:space="preserve">          4300 - NON-TAX RETURNS</v>
      </c>
      <c r="C24" s="12"/>
      <c r="D24" s="3">
        <f>-554.21</f>
        <v>-554.21</v>
      </c>
      <c r="E24" s="3"/>
      <c r="F24" s="20"/>
      <c r="G24" s="3"/>
      <c r="H24" s="3"/>
      <c r="I24" s="3"/>
      <c r="J24" s="20"/>
      <c r="K24" s="3"/>
      <c r="L24" s="3">
        <f t="shared" si="0"/>
        <v>-554.21</v>
      </c>
      <c r="M24" s="3"/>
      <c r="N24" s="20">
        <f t="shared" si="1"/>
        <v>0</v>
      </c>
      <c r="O24" s="12"/>
      <c r="P24" s="3">
        <f>-42885.58</f>
        <v>-42885.58</v>
      </c>
      <c r="Q24" s="3"/>
      <c r="R24" s="20"/>
      <c r="S24" s="3"/>
      <c r="T24" s="3"/>
      <c r="U24" s="3"/>
      <c r="V24" s="20"/>
      <c r="W24" s="3"/>
      <c r="X24" s="3">
        <f t="shared" si="2"/>
        <v>-42885.58</v>
      </c>
      <c r="Y24" s="3"/>
      <c r="Z24" s="20">
        <f t="shared" si="3"/>
        <v>0</v>
      </c>
    </row>
    <row r="25" spans="1:26" s="70" customFormat="1" ht="15" hidden="1" customHeight="1" outlineLevel="1" x14ac:dyDescent="0.25">
      <c r="A25" s="42"/>
      <c r="B25" s="12" t="str">
        <f>CONCATENATE("          ","4500"," - ","SALES DISCOUNT")</f>
        <v xml:space="preserve">          4500 - SALES DISCOUNT</v>
      </c>
      <c r="C25" s="12"/>
      <c r="D25" s="3">
        <f>-21452.94</f>
        <v>-21452.94</v>
      </c>
      <c r="E25" s="3"/>
      <c r="F25" s="20"/>
      <c r="G25" s="3"/>
      <c r="H25" s="3"/>
      <c r="I25" s="3"/>
      <c r="J25" s="20"/>
      <c r="K25" s="3"/>
      <c r="L25" s="3">
        <f t="shared" si="0"/>
        <v>-21452.94</v>
      </c>
      <c r="M25" s="3"/>
      <c r="N25" s="20">
        <f t="shared" si="1"/>
        <v>0</v>
      </c>
      <c r="O25" s="12"/>
      <c r="P25" s="3">
        <f>-129357.09</f>
        <v>-129357.09</v>
      </c>
      <c r="Q25" s="3"/>
      <c r="R25" s="20"/>
      <c r="S25" s="3"/>
      <c r="T25" s="3"/>
      <c r="U25" s="3"/>
      <c r="V25" s="20"/>
      <c r="W25" s="3"/>
      <c r="X25" s="3">
        <f t="shared" si="2"/>
        <v>-129357.09</v>
      </c>
      <c r="Y25" s="3"/>
      <c r="Z25" s="20">
        <f t="shared" si="3"/>
        <v>0</v>
      </c>
    </row>
    <row r="26" spans="1:26" ht="15" customHeight="1" x14ac:dyDescent="0.25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collapsed="1" x14ac:dyDescent="0.25">
      <c r="A27" s="11"/>
      <c r="B27" s="27" t="s">
        <v>288</v>
      </c>
      <c r="C27" s="11"/>
      <c r="D27" s="5">
        <f>SUM(OSRRefD16x_0)</f>
        <v>999875.91</v>
      </c>
      <c r="E27" s="5"/>
      <c r="F27" s="13">
        <f t="shared" ref="F27:F62" si="4">IF(D$12=0,0,D27/D$12)</f>
        <v>0.45350461927739605</v>
      </c>
      <c r="G27" s="5"/>
      <c r="H27" s="5">
        <f>SUM(OSRRefH16x_0)</f>
        <v>804888</v>
      </c>
      <c r="I27" s="5"/>
      <c r="J27" s="13">
        <f t="shared" ref="J27:J62" si="5">IF(H$12=0,0,H27/H$12)</f>
        <v>0.47451863555435025</v>
      </c>
      <c r="K27" s="5"/>
      <c r="L27" s="5">
        <f t="shared" ref="L27:L62" si="6">+D27-H27</f>
        <v>194987.91000000003</v>
      </c>
      <c r="M27" s="5"/>
      <c r="N27" s="13">
        <f t="shared" ref="N27:N62" si="7">IF(H27=0,0,L27/H27)</f>
        <v>0.24225471121447956</v>
      </c>
      <c r="O27" s="11"/>
      <c r="P27" s="5">
        <f>SUM(OSRRefP16x_0)</f>
        <v>9759695.2299999986</v>
      </c>
      <c r="Q27" s="5"/>
      <c r="R27" s="13">
        <f t="shared" ref="R27:R62" si="8">IF(P$12=0,0,P27/P$12)</f>
        <v>0.40556311534219136</v>
      </c>
      <c r="S27" s="5"/>
      <c r="T27" s="5">
        <f>SUM(OSRRefT16x_0)</f>
        <v>10567554</v>
      </c>
      <c r="U27" s="5"/>
      <c r="V27" s="13">
        <f t="shared" ref="V27:V62" si="9">IF(T$12=0,0,T27/T$12)</f>
        <v>0.46437647510460445</v>
      </c>
      <c r="W27" s="5"/>
      <c r="X27" s="5">
        <f t="shared" ref="X27:X62" si="10">+P27-T27</f>
        <v>-807858.77000000142</v>
      </c>
      <c r="Y27" s="5"/>
      <c r="Z27" s="13">
        <f t="shared" ref="Z27:Z62" si="11">IF(T27=0,0,X27/T27)</f>
        <v>-7.644709173002584E-2</v>
      </c>
    </row>
    <row r="28" spans="1:26" s="70" customFormat="1" ht="15" hidden="1" customHeight="1" outlineLevel="1" x14ac:dyDescent="0.25">
      <c r="A28" s="42"/>
      <c r="B28" s="12" t="str">
        <f>CONCATENATE("          ","5000"," - ","PURCHASES @ COST")</f>
        <v xml:space="preserve">          5000 - PURCHASES @ COST</v>
      </c>
      <c r="C28" s="12"/>
      <c r="D28" s="3">
        <v>819824.79</v>
      </c>
      <c r="E28" s="3"/>
      <c r="F28" s="20">
        <f t="shared" si="4"/>
        <v>0.37184047094716099</v>
      </c>
      <c r="G28" s="3"/>
      <c r="H28" s="3">
        <v>804888</v>
      </c>
      <c r="I28" s="3"/>
      <c r="J28" s="20">
        <f t="shared" si="5"/>
        <v>0.47451863555435025</v>
      </c>
      <c r="K28" s="3"/>
      <c r="L28" s="3">
        <f t="shared" si="6"/>
        <v>14936.790000000037</v>
      </c>
      <c r="M28" s="3"/>
      <c r="N28" s="20">
        <f t="shared" si="7"/>
        <v>1.8557600560574934E-2</v>
      </c>
      <c r="O28" s="12"/>
      <c r="P28" s="3">
        <v>6253910.0800000001</v>
      </c>
      <c r="Q28" s="3"/>
      <c r="R28" s="20">
        <f t="shared" si="8"/>
        <v>0.25988057980727886</v>
      </c>
      <c r="S28" s="3"/>
      <c r="T28" s="3">
        <v>10567554</v>
      </c>
      <c r="U28" s="3"/>
      <c r="V28" s="20">
        <f t="shared" si="9"/>
        <v>0.46437647510460445</v>
      </c>
      <c r="W28" s="3"/>
      <c r="X28" s="3">
        <f t="shared" si="10"/>
        <v>-4313643.92</v>
      </c>
      <c r="Y28" s="3"/>
      <c r="Z28" s="20">
        <f t="shared" si="11"/>
        <v>-0.40819700755728333</v>
      </c>
    </row>
    <row r="29" spans="1:26" s="70" customFormat="1" ht="15" hidden="1" customHeight="1" outlineLevel="1" x14ac:dyDescent="0.25">
      <c r="A29" s="42"/>
      <c r="B29" s="12" t="str">
        <f>CONCATENATE("          ","5001"," - ","PURCHASES @ COST-NEW TEXT")</f>
        <v xml:space="preserve">          5001 - PURCHASES @ COST-NEW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","5002"," - ","PURCHASES @ COST-USED TEXT")</f>
        <v xml:space="preserve">          5002 - PURCHASES @ COST-USED TEXT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","5004"," - ","PURCHASES @ COST-DIGITAL TEXT")</f>
        <v xml:space="preserve">          5004 - PURCHASES @ COST-DIGITAL TEXT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","5026"," - ","PURCHASES @ COST-WRITING INSTR")</f>
        <v xml:space="preserve">          5026 - PURCHASES @ COST-WRITING INSTR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","5027"," - ","PURCHASES @ COST-SCHOOL SUPPLI")</f>
        <v xml:space="preserve">          5027 - PURCHASES @ COST-SCHOOL SUPPLI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","5028"," - ","PURCHASES @ COST-ART/TECH")</f>
        <v xml:space="preserve">          5028 - PURCHASES @ COST-ART/TECH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","5031"," - ","PURCHASES @ COST-FOOD")</f>
        <v xml:space="preserve">          5031 - PURCHASES @ COST-FOOD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","5040"," - ","PURCHASES @ COST-LOGO CLOTHING")</f>
        <v xml:space="preserve">          5040 - PURCHASES @ COST-LOGO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","5041"," - ","PURCHASES @ COST-LOGO GIFTS")</f>
        <v xml:space="preserve">          5041 - PURCHASES @ COST-LOGO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","5042"," - ","PURCHASES @ COST-EVERYDAY GIFT")</f>
        <v xml:space="preserve">          5042 - PURCHASES @ COST-EVERYDAY GIFT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25">
      <c r="A39" s="42"/>
      <c r="B39" s="12" t="str">
        <f>CONCATENATE("          ","5043"," - ","PURCHASES @ COST-CARDS")</f>
        <v xml:space="preserve">          5043 - PURCHASES @ COST-CARDS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25">
      <c r="A40" s="42"/>
      <c r="B40" s="12" t="str">
        <f>CONCATENATE("          ","5044"," - ","PURCHASES @ COST-ACCESSORIES")</f>
        <v xml:space="preserve">          5044 - PURCHASES @ COST-ACCESSORIES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25">
      <c r="A41" s="42"/>
      <c r="B41" s="12" t="str">
        <f>CONCATENATE("          ","5045"," - ","PURCHASES @ COST-SPECIAL ORDER")</f>
        <v xml:space="preserve">          5045 - PURCHASES @ COST-SPECIAL ORDER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25">
      <c r="A42" s="42"/>
      <c r="B42" s="12" t="str">
        <f>CONCATENATE("          ","5053"," - ","PURCHASES @ COST-FOOD")</f>
        <v xml:space="preserve">          5053 - PURCHASES @ COST-FOOD</v>
      </c>
      <c r="C42" s="12"/>
      <c r="D42" s="3">
        <v>223523.32</v>
      </c>
      <c r="E42" s="3"/>
      <c r="F42" s="20">
        <f t="shared" si="4"/>
        <v>0.10138143855893034</v>
      </c>
      <c r="G42" s="3"/>
      <c r="H42" s="3"/>
      <c r="I42" s="3"/>
      <c r="J42" s="20">
        <f t="shared" si="5"/>
        <v>0</v>
      </c>
      <c r="K42" s="3"/>
      <c r="L42" s="3">
        <f t="shared" si="6"/>
        <v>223523.32</v>
      </c>
      <c r="M42" s="3"/>
      <c r="N42" s="20">
        <f t="shared" si="7"/>
        <v>0</v>
      </c>
      <c r="O42" s="12"/>
      <c r="P42" s="3">
        <v>3329993.14</v>
      </c>
      <c r="Q42" s="3"/>
      <c r="R42" s="20">
        <f t="shared" si="8"/>
        <v>0.13837751693056979</v>
      </c>
      <c r="S42" s="3"/>
      <c r="T42" s="3"/>
      <c r="U42" s="3"/>
      <c r="V42" s="20">
        <f t="shared" si="9"/>
        <v>0</v>
      </c>
      <c r="W42" s="3"/>
      <c r="X42" s="3">
        <f t="shared" si="10"/>
        <v>3329993.14</v>
      </c>
      <c r="Y42" s="3"/>
      <c r="Z42" s="20">
        <f t="shared" si="11"/>
        <v>0</v>
      </c>
    </row>
    <row r="43" spans="1:26" s="70" customFormat="1" ht="15" hidden="1" customHeight="1" outlineLevel="1" x14ac:dyDescent="0.25">
      <c r="A43" s="42"/>
      <c r="B43" s="12" t="str">
        <f>CONCATENATE("          ","5059"," - ","PURCHASES @ COST-FOOD")</f>
        <v xml:space="preserve">          5059 - PURCHASES @ COST-FOOD</v>
      </c>
      <c r="C43" s="12"/>
      <c r="D43" s="3">
        <v>61237.17</v>
      </c>
      <c r="E43" s="3"/>
      <c r="F43" s="20">
        <f t="shared" si="4"/>
        <v>2.7774786039674839E-2</v>
      </c>
      <c r="G43" s="3"/>
      <c r="H43" s="3"/>
      <c r="I43" s="3"/>
      <c r="J43" s="20">
        <f t="shared" si="5"/>
        <v>0</v>
      </c>
      <c r="K43" s="3"/>
      <c r="L43" s="3">
        <f t="shared" si="6"/>
        <v>61237.17</v>
      </c>
      <c r="M43" s="3"/>
      <c r="N43" s="20">
        <f t="shared" si="7"/>
        <v>0</v>
      </c>
      <c r="O43" s="12"/>
      <c r="P43" s="3">
        <v>254735.29</v>
      </c>
      <c r="Q43" s="3"/>
      <c r="R43" s="20">
        <f t="shared" si="8"/>
        <v>1.0585498354746942E-2</v>
      </c>
      <c r="S43" s="3"/>
      <c r="T43" s="3"/>
      <c r="U43" s="3"/>
      <c r="V43" s="20">
        <f t="shared" si="9"/>
        <v>0</v>
      </c>
      <c r="W43" s="3"/>
      <c r="X43" s="3">
        <f t="shared" si="10"/>
        <v>254735.29</v>
      </c>
      <c r="Y43" s="3"/>
      <c r="Z43" s="20">
        <f t="shared" si="11"/>
        <v>0</v>
      </c>
    </row>
    <row r="44" spans="1:26" s="70" customFormat="1" ht="15" hidden="1" customHeight="1" outlineLevel="1" x14ac:dyDescent="0.25">
      <c r="A44" s="42"/>
      <c r="B44" s="12" t="str">
        <f>CONCATENATE("          ","5081"," - ","PURCHASES @ COST-ELECTRONICS")</f>
        <v xml:space="preserve">          5081 - PURCHASES @ COST-ELECTRONICS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25">
      <c r="A45" s="42"/>
      <c r="B45" s="12" t="str">
        <f>CONCATENATE("          ","5082"," - ","PURCHASES @ COST-COMPUTER HARD")</f>
        <v xml:space="preserve">          5082 - PURCHASES @ COST-COMPUTER HARD</v>
      </c>
      <c r="C45" s="12"/>
      <c r="D45" s="3">
        <v>-10189.709999999999</v>
      </c>
      <c r="E45" s="3"/>
      <c r="F45" s="20">
        <f t="shared" si="4"/>
        <v>-4.6216540551487781E-3</v>
      </c>
      <c r="G45" s="3"/>
      <c r="H45" s="3"/>
      <c r="I45" s="3"/>
      <c r="J45" s="20">
        <f t="shared" si="5"/>
        <v>0</v>
      </c>
      <c r="K45" s="3"/>
      <c r="L45" s="3">
        <f t="shared" si="6"/>
        <v>-10189.709999999999</v>
      </c>
      <c r="M45" s="3"/>
      <c r="N45" s="20">
        <f t="shared" si="7"/>
        <v>0</v>
      </c>
      <c r="O45" s="12"/>
      <c r="P45" s="3">
        <v>-120382.97</v>
      </c>
      <c r="Q45" s="3"/>
      <c r="R45" s="20">
        <f t="shared" si="8"/>
        <v>-5.0025017376844434E-3</v>
      </c>
      <c r="S45" s="3"/>
      <c r="T45" s="3"/>
      <c r="U45" s="3"/>
      <c r="V45" s="20">
        <f t="shared" si="9"/>
        <v>0</v>
      </c>
      <c r="W45" s="3"/>
      <c r="X45" s="3">
        <f t="shared" si="10"/>
        <v>-120382.97</v>
      </c>
      <c r="Y45" s="3"/>
      <c r="Z45" s="20">
        <f t="shared" si="11"/>
        <v>0</v>
      </c>
    </row>
    <row r="46" spans="1:26" s="70" customFormat="1" ht="15" hidden="1" customHeight="1" outlineLevel="1" x14ac:dyDescent="0.25">
      <c r="A46" s="42"/>
      <c r="B46" s="12" t="str">
        <f>CONCATENATE("          ","5083"," - ","PURCHASES @ COST-COMPUTER EQUI")</f>
        <v xml:space="preserve">          5083 - PURCHASES @ COST-COMPUTER EQUI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25">
      <c r="A47" s="42"/>
      <c r="B47" s="12" t="str">
        <f>CONCATENATE("          ","5085"," - ","PURCHASES @ COST-SOFTWARE")</f>
        <v xml:space="preserve">          5085 - PURCHASES @ COST-SOFTWARE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25">
      <c r="A48" s="42"/>
      <c r="B48" s="12" t="str">
        <f>CONCATENATE("          ","5086"," - ","PURCHASES @ COST-COMPUTER SUPP")</f>
        <v xml:space="preserve">          5086 - PURCHASES @ COST-COMPUTER SUPP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25">
      <c r="A49" s="42"/>
      <c r="B49" s="12" t="str">
        <f>CONCATENATE("          ","5200"," - ","PURCHASES OFFSET")</f>
        <v xml:space="preserve">          5200 - PURCHASES OFFSET</v>
      </c>
      <c r="C49" s="12"/>
      <c r="D49" s="3">
        <v>-829131.5</v>
      </c>
      <c r="E49" s="3"/>
      <c r="F49" s="20">
        <f t="shared" si="4"/>
        <v>-0.37606163072615306</v>
      </c>
      <c r="G49" s="3"/>
      <c r="H49" s="3"/>
      <c r="I49" s="3"/>
      <c r="J49" s="20">
        <f t="shared" si="5"/>
        <v>0</v>
      </c>
      <c r="K49" s="3"/>
      <c r="L49" s="3">
        <f t="shared" si="6"/>
        <v>-829131.5</v>
      </c>
      <c r="M49" s="3"/>
      <c r="N49" s="20">
        <f t="shared" si="7"/>
        <v>0</v>
      </c>
      <c r="O49" s="12"/>
      <c r="P49" s="3">
        <v>-6155458.2800000003</v>
      </c>
      <c r="Q49" s="3"/>
      <c r="R49" s="20">
        <f t="shared" si="8"/>
        <v>-0.25578942554701961</v>
      </c>
      <c r="S49" s="3"/>
      <c r="T49" s="3"/>
      <c r="U49" s="3"/>
      <c r="V49" s="20">
        <f t="shared" si="9"/>
        <v>0</v>
      </c>
      <c r="W49" s="3"/>
      <c r="X49" s="3">
        <f t="shared" si="10"/>
        <v>-6155458.2800000003</v>
      </c>
      <c r="Y49" s="3"/>
      <c r="Z49" s="20">
        <f t="shared" si="11"/>
        <v>0</v>
      </c>
    </row>
    <row r="50" spans="1:26" s="70" customFormat="1" ht="15" hidden="1" customHeight="1" outlineLevel="1" x14ac:dyDescent="0.25">
      <c r="A50" s="42"/>
      <c r="B50" s="12" t="str">
        <f>CONCATENATE("          ","5300"," - ","COG$ OFFSET")</f>
        <v xml:space="preserve">          5300 - COG$ OFFSET</v>
      </c>
      <c r="C50" s="12"/>
      <c r="D50" s="3">
        <v>722710.87</v>
      </c>
      <c r="E50" s="3"/>
      <c r="F50" s="20">
        <f t="shared" si="4"/>
        <v>0.3277933938292259</v>
      </c>
      <c r="G50" s="3"/>
      <c r="H50" s="3"/>
      <c r="I50" s="3"/>
      <c r="J50" s="20">
        <f t="shared" si="5"/>
        <v>0</v>
      </c>
      <c r="K50" s="3"/>
      <c r="L50" s="3">
        <f t="shared" si="6"/>
        <v>722710.87</v>
      </c>
      <c r="M50" s="3"/>
      <c r="N50" s="20">
        <f t="shared" si="7"/>
        <v>0</v>
      </c>
      <c r="O50" s="12"/>
      <c r="P50" s="3">
        <v>6001519.6900000004</v>
      </c>
      <c r="Q50" s="3"/>
      <c r="R50" s="20">
        <f t="shared" si="8"/>
        <v>0.2493925235269773</v>
      </c>
      <c r="S50" s="3"/>
      <c r="T50" s="3"/>
      <c r="U50" s="3"/>
      <c r="V50" s="20">
        <f t="shared" si="9"/>
        <v>0</v>
      </c>
      <c r="W50" s="3"/>
      <c r="X50" s="3">
        <f t="shared" si="10"/>
        <v>6001519.6900000004</v>
      </c>
      <c r="Y50" s="3"/>
      <c r="Z50" s="20">
        <f t="shared" si="11"/>
        <v>0</v>
      </c>
    </row>
    <row r="51" spans="1:26" s="70" customFormat="1" ht="15" hidden="1" customHeight="1" outlineLevel="1" x14ac:dyDescent="0.25">
      <c r="A51" s="42"/>
      <c r="B51" s="12" t="str">
        <f>CONCATENATE("          ","5500"," - ","FREIGHT-IN")</f>
        <v xml:space="preserve">          5500 - FREIGHT-IN</v>
      </c>
      <c r="C51" s="12"/>
      <c r="D51" s="3">
        <v>11900.97</v>
      </c>
      <c r="E51" s="3"/>
      <c r="F51" s="20">
        <f t="shared" si="4"/>
        <v>5.3978146837058124E-3</v>
      </c>
      <c r="G51" s="3"/>
      <c r="H51" s="3"/>
      <c r="I51" s="3"/>
      <c r="J51" s="20">
        <f t="shared" si="5"/>
        <v>0</v>
      </c>
      <c r="K51" s="3"/>
      <c r="L51" s="3">
        <f t="shared" si="6"/>
        <v>11900.97</v>
      </c>
      <c r="M51" s="3"/>
      <c r="N51" s="20">
        <f t="shared" si="7"/>
        <v>0</v>
      </c>
      <c r="O51" s="12"/>
      <c r="P51" s="3">
        <v>195378.28</v>
      </c>
      <c r="Q51" s="3"/>
      <c r="R51" s="20">
        <f t="shared" si="8"/>
        <v>8.1189240073226109E-3</v>
      </c>
      <c r="S51" s="3"/>
      <c r="T51" s="3"/>
      <c r="U51" s="3"/>
      <c r="V51" s="20">
        <f t="shared" si="9"/>
        <v>0</v>
      </c>
      <c r="W51" s="3"/>
      <c r="X51" s="3">
        <f t="shared" si="10"/>
        <v>195378.28</v>
      </c>
      <c r="Y51" s="3"/>
      <c r="Z51" s="20">
        <f t="shared" si="11"/>
        <v>0</v>
      </c>
    </row>
    <row r="52" spans="1:26" s="70" customFormat="1" ht="15" hidden="1" customHeight="1" outlineLevel="1" x14ac:dyDescent="0.25">
      <c r="A52" s="42"/>
      <c r="B52" s="12" t="str">
        <f>CONCATENATE("          ","5501"," - ","FREIGHT-IN-NEW TEXT")</f>
        <v xml:space="preserve">          5501 - FREIGHT-IN-NEW TEXT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25">
      <c r="A53" s="42"/>
      <c r="B53" s="12" t="str">
        <f>CONCATENATE("          ","5502"," - ","FREIGHT-IN-USED TEXT")</f>
        <v xml:space="preserve">          5502 - FREIGHT-IN-USED TEXT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25">
      <c r="A54" s="42"/>
      <c r="B54" s="12" t="str">
        <f>CONCATENATE("          ","5518"," - ","FREIGHT-IN-STUDY GUIDES")</f>
        <v xml:space="preserve">          5518 - FREIGHT-IN-STUDY GUIDES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s="70" customFormat="1" ht="15" hidden="1" customHeight="1" outlineLevel="1" x14ac:dyDescent="0.25">
      <c r="A55" s="42"/>
      <c r="B55" s="12" t="str">
        <f>CONCATENATE("          ","5527"," - ","FREIGHT-IN-SCHOOL SUPPLIES")</f>
        <v xml:space="preserve">          5527 - FREIGHT-IN-SCHOOL SUPPLIES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>
        <v>0</v>
      </c>
      <c r="Q55" s="3"/>
      <c r="R55" s="20">
        <f t="shared" si="8"/>
        <v>0</v>
      </c>
      <c r="S55" s="3"/>
      <c r="T55" s="3"/>
      <c r="U55" s="3"/>
      <c r="V55" s="20">
        <f t="shared" si="9"/>
        <v>0</v>
      </c>
      <c r="W55" s="3"/>
      <c r="X55" s="3">
        <f t="shared" si="10"/>
        <v>0</v>
      </c>
      <c r="Y55" s="3"/>
      <c r="Z55" s="20">
        <f t="shared" si="11"/>
        <v>0</v>
      </c>
    </row>
    <row r="56" spans="1:26" s="70" customFormat="1" ht="15" hidden="1" customHeight="1" outlineLevel="1" x14ac:dyDescent="0.25">
      <c r="A56" s="42"/>
      <c r="B56" s="12" t="str">
        <f>CONCATENATE("          ","5528"," - ","FREIGHT-IN-ART/TECH")</f>
        <v xml:space="preserve">          5528 - FREIGHT-IN-ART/TECH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>
        <v>0</v>
      </c>
      <c r="Q56" s="3"/>
      <c r="R56" s="20">
        <f t="shared" si="8"/>
        <v>0</v>
      </c>
      <c r="S56" s="3"/>
      <c r="T56" s="3"/>
      <c r="U56" s="3"/>
      <c r="V56" s="20">
        <f t="shared" si="9"/>
        <v>0</v>
      </c>
      <c r="W56" s="3"/>
      <c r="X56" s="3">
        <f t="shared" si="10"/>
        <v>0</v>
      </c>
      <c r="Y56" s="3"/>
      <c r="Z56" s="20">
        <f t="shared" si="11"/>
        <v>0</v>
      </c>
    </row>
    <row r="57" spans="1:26" s="70" customFormat="1" ht="15" hidden="1" customHeight="1" outlineLevel="1" x14ac:dyDescent="0.25">
      <c r="A57" s="42"/>
      <c r="B57" s="12" t="str">
        <f>CONCATENATE("          ","5540"," - ","FREIGHT-IN-LOGO CLOTHING")</f>
        <v xml:space="preserve">          5540 - FREIGHT-IN-LOGO CLOTHING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s="70" customFormat="1" ht="15" hidden="1" customHeight="1" outlineLevel="1" x14ac:dyDescent="0.25">
      <c r="A58" s="42"/>
      <c r="B58" s="12" t="str">
        <f>CONCATENATE("          ","5541"," - ","FREIGHT-IN-LOGO GIFTS")</f>
        <v xml:space="preserve">          5541 - FREIGHT-IN-LOGO GIFTS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>
        <v>0</v>
      </c>
      <c r="Q58" s="3"/>
      <c r="R58" s="20">
        <f t="shared" si="8"/>
        <v>0</v>
      </c>
      <c r="S58" s="3"/>
      <c r="T58" s="3"/>
      <c r="U58" s="3"/>
      <c r="V58" s="20">
        <f t="shared" si="9"/>
        <v>0</v>
      </c>
      <c r="W58" s="3"/>
      <c r="X58" s="3">
        <f t="shared" si="10"/>
        <v>0</v>
      </c>
      <c r="Y58" s="3"/>
      <c r="Z58" s="20">
        <f t="shared" si="11"/>
        <v>0</v>
      </c>
    </row>
    <row r="59" spans="1:26" s="70" customFormat="1" ht="15" hidden="1" customHeight="1" outlineLevel="1" x14ac:dyDescent="0.25">
      <c r="A59" s="42"/>
      <c r="B59" s="12" t="str">
        <f>CONCATENATE("          ","5542"," - ","FREIGHT-IN-EVERYDAY GIFTS")</f>
        <v xml:space="preserve">          5542 - FREIGHT-IN-EVERYDAY GIFTS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>
        <v>0</v>
      </c>
      <c r="Q59" s="3"/>
      <c r="R59" s="20">
        <f t="shared" si="8"/>
        <v>0</v>
      </c>
      <c r="S59" s="3"/>
      <c r="T59" s="3"/>
      <c r="U59" s="3"/>
      <c r="V59" s="20">
        <f t="shared" si="9"/>
        <v>0</v>
      </c>
      <c r="W59" s="3"/>
      <c r="X59" s="3">
        <f t="shared" si="10"/>
        <v>0</v>
      </c>
      <c r="Y59" s="3"/>
      <c r="Z59" s="20">
        <f t="shared" si="11"/>
        <v>0</v>
      </c>
    </row>
    <row r="60" spans="1:26" s="70" customFormat="1" ht="15" hidden="1" customHeight="1" outlineLevel="1" x14ac:dyDescent="0.25">
      <c r="A60" s="42"/>
      <c r="B60" s="12" t="str">
        <f>CONCATENATE("          ","5544"," - ","FREIGHT-IN-ACCESSORIES")</f>
        <v xml:space="preserve">          5544 - FREIGHT-IN-ACCESSORIES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>
        <v>0</v>
      </c>
      <c r="Q60" s="3"/>
      <c r="R60" s="20">
        <f t="shared" si="8"/>
        <v>0</v>
      </c>
      <c r="S60" s="3"/>
      <c r="T60" s="3"/>
      <c r="U60" s="3"/>
      <c r="V60" s="20">
        <f t="shared" si="9"/>
        <v>0</v>
      </c>
      <c r="W60" s="3"/>
      <c r="X60" s="3">
        <f t="shared" si="10"/>
        <v>0</v>
      </c>
      <c r="Y60" s="3"/>
      <c r="Z60" s="20">
        <f t="shared" si="11"/>
        <v>0</v>
      </c>
    </row>
    <row r="61" spans="1:26" s="70" customFormat="1" ht="15" hidden="1" customHeight="1" outlineLevel="1" x14ac:dyDescent="0.25">
      <c r="A61" s="42"/>
      <c r="B61" s="12" t="str">
        <f>CONCATENATE("          ","5545"," - ","FREIGHT-IN-SPECIAL ORDERS")</f>
        <v xml:space="preserve">          5545 - FREIGHT-IN-SPECIAL ORDERS</v>
      </c>
      <c r="C61" s="12"/>
      <c r="D61" s="3"/>
      <c r="E61" s="3"/>
      <c r="F61" s="20">
        <f t="shared" si="4"/>
        <v>0</v>
      </c>
      <c r="G61" s="3"/>
      <c r="H61" s="3"/>
      <c r="I61" s="3"/>
      <c r="J61" s="20">
        <f t="shared" si="5"/>
        <v>0</v>
      </c>
      <c r="K61" s="3"/>
      <c r="L61" s="3">
        <f t="shared" si="6"/>
        <v>0</v>
      </c>
      <c r="M61" s="3"/>
      <c r="N61" s="20">
        <f t="shared" si="7"/>
        <v>0</v>
      </c>
      <c r="O61" s="12"/>
      <c r="P61" s="3">
        <v>0</v>
      </c>
      <c r="Q61" s="3"/>
      <c r="R61" s="20">
        <f t="shared" si="8"/>
        <v>0</v>
      </c>
      <c r="S61" s="3"/>
      <c r="T61" s="3"/>
      <c r="U61" s="3"/>
      <c r="V61" s="20">
        <f t="shared" si="9"/>
        <v>0</v>
      </c>
      <c r="W61" s="3"/>
      <c r="X61" s="3">
        <f t="shared" si="10"/>
        <v>0</v>
      </c>
      <c r="Y61" s="3"/>
      <c r="Z61" s="20">
        <f t="shared" si="11"/>
        <v>0</v>
      </c>
    </row>
    <row r="62" spans="1:26" s="70" customFormat="1" ht="15" hidden="1" customHeight="1" outlineLevel="1" x14ac:dyDescent="0.25">
      <c r="A62" s="42"/>
      <c r="B62" s="12" t="str">
        <f>CONCATENATE("          ","5583"," - ","FREIGHT-IN-COMPUTER EQUIPMENT")</f>
        <v xml:space="preserve">          5583 - FREIGHT-IN-COMPUTER EQUIPMENT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/>
      <c r="U62" s="3"/>
      <c r="V62" s="20">
        <f t="shared" si="9"/>
        <v>0</v>
      </c>
      <c r="W62" s="3"/>
      <c r="X62" s="3">
        <f t="shared" si="10"/>
        <v>0</v>
      </c>
      <c r="Y62" s="3"/>
      <c r="Z62" s="20">
        <f t="shared" si="11"/>
        <v>0</v>
      </c>
    </row>
    <row r="63" spans="1:26" ht="15" customHeight="1" x14ac:dyDescent="0.25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25">
      <c r="A64" s="11"/>
      <c r="B64" s="28" t="s">
        <v>289</v>
      </c>
      <c r="C64" s="28"/>
      <c r="D64" s="22">
        <f>D12-D27</f>
        <v>1204899.67</v>
      </c>
      <c r="E64" s="15"/>
      <c r="F64" s="21">
        <f>IF(D$12=0,0,D64/D$12)</f>
        <v>0.54649538072260395</v>
      </c>
      <c r="G64" s="15"/>
      <c r="H64" s="22">
        <f>H12-H27</f>
        <v>891332</v>
      </c>
      <c r="I64" s="15"/>
      <c r="J64" s="21">
        <f>IF(H$12=0,0,H64/H$12)</f>
        <v>0.52548136444564975</v>
      </c>
      <c r="K64" s="16"/>
      <c r="L64" s="22">
        <f>+D64-H64</f>
        <v>313567.66999999993</v>
      </c>
      <c r="M64" s="16"/>
      <c r="N64" s="21">
        <f>IF(H64=0,0,L64/H64)</f>
        <v>0.35179671547750996</v>
      </c>
      <c r="O64" s="27"/>
      <c r="P64" s="22">
        <f>P12-P27</f>
        <v>14304858.130000001</v>
      </c>
      <c r="Q64" s="15"/>
      <c r="R64" s="21">
        <f>IF(P$12=0,0,P64/P$12)</f>
        <v>0.59443688465780864</v>
      </c>
      <c r="S64" s="15"/>
      <c r="T64" s="22">
        <f>T12-T27</f>
        <v>12188883</v>
      </c>
      <c r="U64" s="15"/>
      <c r="V64" s="21">
        <f>IF(T$12=0,0,T64/T$12)</f>
        <v>0.53562352489539555</v>
      </c>
      <c r="W64" s="16"/>
      <c r="X64" s="22">
        <f>+P64-T64</f>
        <v>2115975.1300000008</v>
      </c>
      <c r="Y64" s="16"/>
      <c r="Z64" s="21">
        <f>IF(T64=0,0,X64/T64)</f>
        <v>0.17359877275054661</v>
      </c>
    </row>
    <row r="65" spans="1:26" ht="15" customHeight="1" x14ac:dyDescent="0.25">
      <c r="A65" s="10"/>
      <c r="B65" s="11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25">
      <c r="A66" s="11"/>
      <c r="B66" s="27" t="s">
        <v>290</v>
      </c>
      <c r="C66" s="11"/>
      <c r="D66" s="23" cm="1">
        <f t="array" ref="D66">SUM(OSRRefD22x_0)</f>
        <v>1028555.1399999999</v>
      </c>
      <c r="E66" s="23"/>
      <c r="F66" s="31">
        <f t="shared" ref="F66:F97" si="12">IF(D$12=0,0,D66/D$12)</f>
        <v>0.46651239669481459</v>
      </c>
      <c r="G66" s="23"/>
      <c r="H66" s="23" cm="1">
        <f t="array" ref="H66">SUM(OSRRefH22x_0)</f>
        <v>991100.01926988875</v>
      </c>
      <c r="I66" s="23"/>
      <c r="J66" s="31">
        <f t="shared" ref="J66:J97" si="13">IF(H$12=0,0,H66/H$12)</f>
        <v>0.58429921783134775</v>
      </c>
      <c r="K66" s="5"/>
      <c r="L66" s="23">
        <f t="shared" ref="L66:L97" si="14">+D66-H66</f>
        <v>37455.120730111143</v>
      </c>
      <c r="M66" s="5"/>
      <c r="N66" s="31">
        <f t="shared" ref="N66:N97" si="15">IF(H66=0,0,L66/H66)</f>
        <v>3.7791464031756469E-2</v>
      </c>
      <c r="O66" s="11"/>
      <c r="P66" s="23" cm="1">
        <f t="array" ref="P66">SUM(OSRRefP22x_0)</f>
        <v>11742974.289999995</v>
      </c>
      <c r="Q66" s="23"/>
      <c r="R66" s="31">
        <f t="shared" ref="R66:R97" si="16">IF(P$12=0,0,P66/P$12)</f>
        <v>0.48797806941720007</v>
      </c>
      <c r="S66" s="23"/>
      <c r="T66" s="23" cm="1">
        <f t="array" ref="T66">SUM(OSRRefT22x_0)</f>
        <v>12529348.591010269</v>
      </c>
      <c r="U66" s="23"/>
      <c r="V66" s="31">
        <f t="shared" ref="V66:V97" si="17">IF(T$12=0,0,T66/T$12)</f>
        <v>0.55058481215711708</v>
      </c>
      <c r="W66" s="5"/>
      <c r="X66" s="23">
        <f t="shared" ref="X66:X97" si="18">+P66-T66</f>
        <v>-786374.3010102734</v>
      </c>
      <c r="Y66" s="5"/>
      <c r="Z66" s="31">
        <f t="shared" ref="Z66:Z97" si="19">IF(T66=0,0,X66/T66)</f>
        <v>-6.2762584606712288E-2</v>
      </c>
    </row>
    <row r="67" spans="1:26" s="69" customFormat="1" ht="15" customHeight="1" outlineLevel="1" collapsed="1" x14ac:dyDescent="0.25">
      <c r="A67" s="26"/>
      <c r="B67" s="14" t="str">
        <f>CONCATENATE("     ","*Benefits                                         ")</f>
        <v xml:space="preserve">     *Benefits                                         </v>
      </c>
      <c r="C67" s="14"/>
      <c r="D67" s="2">
        <f>SUM(OSRRefD22_0x_0)</f>
        <v>172910.89999999997</v>
      </c>
      <c r="E67" s="2"/>
      <c r="F67" s="6">
        <f t="shared" si="12"/>
        <v>7.8425623709057937E-2</v>
      </c>
      <c r="G67" s="2"/>
      <c r="H67" s="2">
        <f>SUM(OSRRefH22_0x_0)</f>
        <v>186120.15636425081</v>
      </c>
      <c r="I67" s="2"/>
      <c r="J67" s="6">
        <f t="shared" si="13"/>
        <v>0.1097264248530561</v>
      </c>
      <c r="K67" s="2"/>
      <c r="L67" s="2">
        <f t="shared" si="14"/>
        <v>-13209.256364250847</v>
      </c>
      <c r="M67" s="2"/>
      <c r="N67" s="6">
        <f t="shared" si="15"/>
        <v>-7.0971659503656137E-2</v>
      </c>
      <c r="O67" s="14"/>
      <c r="P67" s="2">
        <f>SUM(OSRRefP22_0x_0)</f>
        <v>1927474.8299999998</v>
      </c>
      <c r="Q67" s="2"/>
      <c r="R67" s="6">
        <f t="shared" si="16"/>
        <v>8.0096015129199963E-2</v>
      </c>
      <c r="S67" s="2"/>
      <c r="T67" s="2">
        <f>SUM(OSRRefT22_0x_0)</f>
        <v>2218670.7740191417</v>
      </c>
      <c r="U67" s="2"/>
      <c r="V67" s="6">
        <f t="shared" si="17"/>
        <v>9.749640394140531E-2</v>
      </c>
      <c r="W67" s="2"/>
      <c r="X67" s="2">
        <f t="shared" si="18"/>
        <v>-291195.94401914184</v>
      </c>
      <c r="Y67" s="2"/>
      <c r="Z67" s="6">
        <f t="shared" si="19"/>
        <v>-0.1312479289081894</v>
      </c>
    </row>
    <row r="68" spans="1:26" s="70" customFormat="1" ht="15" hidden="1" customHeight="1" outlineLevel="2" x14ac:dyDescent="0.25">
      <c r="A68" s="25"/>
      <c r="B68" s="12" t="str">
        <f>CONCATENATE("          ","6111"," - ","F.I.C.A.")</f>
        <v xml:space="preserve">          6111 - F.I.C.A.</v>
      </c>
      <c r="C68" s="12"/>
      <c r="D68" s="8">
        <v>26977.53</v>
      </c>
      <c r="E68" s="3"/>
      <c r="F68" s="7">
        <f t="shared" si="12"/>
        <v>1.2235952831081337E-2</v>
      </c>
      <c r="G68" s="3"/>
      <c r="H68" s="8">
        <v>25338.151851836999</v>
      </c>
      <c r="I68" s="3"/>
      <c r="J68" s="7">
        <f t="shared" si="13"/>
        <v>1.4938010312245464E-2</v>
      </c>
      <c r="K68" s="3"/>
      <c r="L68" s="8">
        <f t="shared" si="14"/>
        <v>1639.3781481629994</v>
      </c>
      <c r="M68" s="3"/>
      <c r="N68" s="7">
        <f t="shared" si="15"/>
        <v>6.4699989081648257E-2</v>
      </c>
      <c r="O68" s="12"/>
      <c r="P68" s="8">
        <v>307899.03999999998</v>
      </c>
      <c r="Q68" s="3"/>
      <c r="R68" s="7">
        <f t="shared" si="16"/>
        <v>1.2794712430100136E-2</v>
      </c>
      <c r="S68" s="3"/>
      <c r="T68" s="8">
        <v>315779.35381835001</v>
      </c>
      <c r="U68" s="3"/>
      <c r="V68" s="7">
        <f t="shared" si="17"/>
        <v>1.3876484874075411E-2</v>
      </c>
      <c r="W68" s="3"/>
      <c r="X68" s="8">
        <f t="shared" si="18"/>
        <v>-7880.3138183500268</v>
      </c>
      <c r="Y68" s="3"/>
      <c r="Z68" s="7">
        <f t="shared" si="19"/>
        <v>-2.4955126809471925E-2</v>
      </c>
    </row>
    <row r="69" spans="1:26" s="70" customFormat="1" ht="15" hidden="1" customHeight="1" outlineLevel="2" x14ac:dyDescent="0.25">
      <c r="A69" s="25"/>
      <c r="B69" s="12" t="str">
        <f>CONCATENATE("          ","6112"," - ","COMPENSATION INSURANCE")</f>
        <v xml:space="preserve">          6112 - COMPENSATION INSURANCE</v>
      </c>
      <c r="C69" s="12"/>
      <c r="D69" s="8">
        <v>20622.57</v>
      </c>
      <c r="E69" s="3"/>
      <c r="F69" s="7">
        <f t="shared" si="12"/>
        <v>9.3535914435336764E-3</v>
      </c>
      <c r="G69" s="3"/>
      <c r="H69" s="8">
        <v>14790.8378878238</v>
      </c>
      <c r="I69" s="3"/>
      <c r="J69" s="7">
        <f t="shared" si="13"/>
        <v>8.7198817888150121E-3</v>
      </c>
      <c r="K69" s="3"/>
      <c r="L69" s="8">
        <f t="shared" si="14"/>
        <v>5831.7321121761997</v>
      </c>
      <c r="M69" s="3"/>
      <c r="N69" s="7">
        <f t="shared" si="15"/>
        <v>0.39428003716929605</v>
      </c>
      <c r="O69" s="12"/>
      <c r="P69" s="8">
        <v>149464.9</v>
      </c>
      <c r="Q69" s="3"/>
      <c r="R69" s="7">
        <f t="shared" si="16"/>
        <v>6.2109982996168935E-3</v>
      </c>
      <c r="S69" s="3"/>
      <c r="T69" s="8">
        <v>190027.75887865599</v>
      </c>
      <c r="U69" s="3"/>
      <c r="V69" s="7">
        <f t="shared" si="17"/>
        <v>8.3505057878197706E-3</v>
      </c>
      <c r="W69" s="3"/>
      <c r="X69" s="8">
        <f t="shared" si="18"/>
        <v>-40562.858878655999</v>
      </c>
      <c r="Y69" s="3"/>
      <c r="Z69" s="7">
        <f t="shared" si="19"/>
        <v>-0.2134575449293058</v>
      </c>
    </row>
    <row r="70" spans="1:26" s="70" customFormat="1" ht="15" hidden="1" customHeight="1" outlineLevel="2" x14ac:dyDescent="0.25">
      <c r="A70" s="25"/>
      <c r="B70" s="12" t="str">
        <f>CONCATENATE("          ","6113"," - ","GROUP INSURANCE")</f>
        <v xml:space="preserve">          6113 - GROUP INSURANCE</v>
      </c>
      <c r="C70" s="12"/>
      <c r="D70" s="8">
        <v>72034.98</v>
      </c>
      <c r="E70" s="3"/>
      <c r="F70" s="7">
        <f t="shared" si="12"/>
        <v>3.2672250479116788E-2</v>
      </c>
      <c r="G70" s="3"/>
      <c r="H70" s="8">
        <v>96122.3384615385</v>
      </c>
      <c r="I70" s="3"/>
      <c r="J70" s="7">
        <f t="shared" si="13"/>
        <v>5.6668556237715918E-2</v>
      </c>
      <c r="K70" s="3"/>
      <c r="L70" s="8">
        <f t="shared" si="14"/>
        <v>-24087.358461538504</v>
      </c>
      <c r="M70" s="3"/>
      <c r="N70" s="7">
        <f t="shared" si="15"/>
        <v>-0.25059064154142063</v>
      </c>
      <c r="O70" s="12"/>
      <c r="P70" s="8">
        <v>816012.42</v>
      </c>
      <c r="Q70" s="3"/>
      <c r="R70" s="7">
        <f t="shared" si="16"/>
        <v>3.3909310835428697E-2</v>
      </c>
      <c r="S70" s="3"/>
      <c r="T70" s="8">
        <v>1106652.6499999999</v>
      </c>
      <c r="U70" s="3"/>
      <c r="V70" s="7">
        <f t="shared" si="17"/>
        <v>4.8630312820939409E-2</v>
      </c>
      <c r="W70" s="3"/>
      <c r="X70" s="8">
        <f t="shared" si="18"/>
        <v>-290640.22999999986</v>
      </c>
      <c r="Y70" s="3"/>
      <c r="Z70" s="7">
        <f t="shared" si="19"/>
        <v>-0.26263004023891318</v>
      </c>
    </row>
    <row r="71" spans="1:26" s="70" customFormat="1" ht="15" hidden="1" customHeight="1" outlineLevel="2" x14ac:dyDescent="0.25">
      <c r="A71" s="25"/>
      <c r="B71" s="12" t="str">
        <f>CONCATENATE("          ","6114"," - ","STATE UNEMPLOYMENT INSURANCE")</f>
        <v xml:space="preserve">          6114 - STATE UNEMPLOYMENT INSURANCE</v>
      </c>
      <c r="C71" s="12"/>
      <c r="D71" s="8">
        <v>2038.33</v>
      </c>
      <c r="E71" s="3"/>
      <c r="F71" s="7">
        <f t="shared" si="12"/>
        <v>9.2450679265959569E-4</v>
      </c>
      <c r="G71" s="3"/>
      <c r="H71" s="8">
        <v>1044.8096250900001</v>
      </c>
      <c r="I71" s="3"/>
      <c r="J71" s="7">
        <f t="shared" si="13"/>
        <v>6.1596351009303039E-4</v>
      </c>
      <c r="K71" s="3"/>
      <c r="L71" s="8">
        <f t="shared" si="14"/>
        <v>993.52037490999987</v>
      </c>
      <c r="M71" s="3"/>
      <c r="N71" s="7">
        <f t="shared" si="15"/>
        <v>0.95091043483105153</v>
      </c>
      <c r="O71" s="12"/>
      <c r="P71" s="8">
        <v>14853.24</v>
      </c>
      <c r="Q71" s="3"/>
      <c r="R71" s="7">
        <f t="shared" si="16"/>
        <v>6.1722483595681417E-4</v>
      </c>
      <c r="S71" s="3"/>
      <c r="T71" s="8">
        <v>13423.4456712138</v>
      </c>
      <c r="U71" s="3"/>
      <c r="V71" s="7">
        <f t="shared" si="17"/>
        <v>5.8987466584570333E-4</v>
      </c>
      <c r="W71" s="3"/>
      <c r="X71" s="8">
        <f t="shared" si="18"/>
        <v>1429.7943287861999</v>
      </c>
      <c r="Y71" s="3"/>
      <c r="Z71" s="7">
        <f t="shared" si="19"/>
        <v>0.10651470299107728</v>
      </c>
    </row>
    <row r="72" spans="1:26" s="70" customFormat="1" ht="15" hidden="1" customHeight="1" outlineLevel="2" x14ac:dyDescent="0.25">
      <c r="A72" s="25"/>
      <c r="B72" s="12" t="str">
        <f>CONCATENATE("          ","6115"," - ","P.E.R.S.")</f>
        <v xml:space="preserve">          6115 - P.E.R.S.</v>
      </c>
      <c r="C72" s="12"/>
      <c r="D72" s="8">
        <v>11941.74</v>
      </c>
      <c r="E72" s="3"/>
      <c r="F72" s="7">
        <f t="shared" si="12"/>
        <v>5.4163063616660704E-3</v>
      </c>
      <c r="G72" s="3"/>
      <c r="H72" s="8">
        <v>12048.9513358</v>
      </c>
      <c r="I72" s="3"/>
      <c r="J72" s="7">
        <f t="shared" si="13"/>
        <v>7.1034130807324522E-3</v>
      </c>
      <c r="K72" s="3"/>
      <c r="L72" s="8">
        <f t="shared" si="14"/>
        <v>-107.2113358000006</v>
      </c>
      <c r="M72" s="3"/>
      <c r="N72" s="7">
        <f t="shared" si="15"/>
        <v>-8.8979806467848269E-3</v>
      </c>
      <c r="O72" s="12"/>
      <c r="P72" s="8">
        <v>167289.03</v>
      </c>
      <c r="Q72" s="3"/>
      <c r="R72" s="7">
        <f t="shared" si="16"/>
        <v>6.9516781590497805E-3</v>
      </c>
      <c r="S72" s="3"/>
      <c r="T72" s="8">
        <v>143313.996631138</v>
      </c>
      <c r="U72" s="3"/>
      <c r="V72" s="7">
        <f t="shared" si="17"/>
        <v>6.297734422622399E-3</v>
      </c>
      <c r="W72" s="3"/>
      <c r="X72" s="8">
        <f t="shared" si="18"/>
        <v>23975.033368862001</v>
      </c>
      <c r="Y72" s="3"/>
      <c r="Z72" s="7">
        <f t="shared" si="19"/>
        <v>0.16729024332891235</v>
      </c>
    </row>
    <row r="73" spans="1:26" s="70" customFormat="1" ht="15" hidden="1" customHeight="1" outlineLevel="2" x14ac:dyDescent="0.25">
      <c r="A73" s="25"/>
      <c r="B73" s="12" t="str">
        <f>CONCATENATE("          ","6116"," - ","EDUCATIONAL BENEFITS")</f>
        <v xml:space="preserve">          6116 - EDUCATIONAL BENEFITS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25">
      <c r="A74" s="25"/>
      <c r="B74" s="12" t="str">
        <f>CONCATENATE("          ","6117"," - ","RETIREMENT STAFF HOURLY")</f>
        <v xml:space="preserve">          6117 - RETIREMENT STAFF HOURLY</v>
      </c>
      <c r="C74" s="12"/>
      <c r="D74" s="8">
        <v>2804.66</v>
      </c>
      <c r="E74" s="3"/>
      <c r="F74" s="7">
        <f t="shared" si="12"/>
        <v>1.2720841184207963E-3</v>
      </c>
      <c r="G74" s="3"/>
      <c r="H74" s="8"/>
      <c r="I74" s="3"/>
      <c r="J74" s="7">
        <f t="shared" si="13"/>
        <v>0</v>
      </c>
      <c r="K74" s="3"/>
      <c r="L74" s="8">
        <f t="shared" si="14"/>
        <v>2804.66</v>
      </c>
      <c r="M74" s="3"/>
      <c r="N74" s="7">
        <f t="shared" si="15"/>
        <v>0</v>
      </c>
      <c r="O74" s="12"/>
      <c r="P74" s="8">
        <v>28158.74</v>
      </c>
      <c r="Q74" s="3"/>
      <c r="R74" s="7">
        <f t="shared" si="16"/>
        <v>1.1701334979607534E-3</v>
      </c>
      <c r="S74" s="3"/>
      <c r="T74" s="8"/>
      <c r="U74" s="3"/>
      <c r="V74" s="7">
        <f t="shared" si="17"/>
        <v>0</v>
      </c>
      <c r="W74" s="3"/>
      <c r="X74" s="8">
        <f t="shared" si="18"/>
        <v>28158.74</v>
      </c>
      <c r="Y74" s="3"/>
      <c r="Z74" s="7">
        <f t="shared" si="19"/>
        <v>0</v>
      </c>
    </row>
    <row r="75" spans="1:26" s="70" customFormat="1" ht="15" hidden="1" customHeight="1" outlineLevel="2" x14ac:dyDescent="0.25">
      <c r="A75" s="25"/>
      <c r="B75" s="12" t="str">
        <f>CONCATENATE("          ","6118"," - ","VACATION")</f>
        <v xml:space="preserve">          6118 - VACATION</v>
      </c>
      <c r="C75" s="12"/>
      <c r="D75" s="8">
        <v>15565.71</v>
      </c>
      <c r="E75" s="3"/>
      <c r="F75" s="7">
        <f t="shared" si="12"/>
        <v>7.0599974624174664E-3</v>
      </c>
      <c r="G75" s="3"/>
      <c r="H75" s="8">
        <v>12538.473702207701</v>
      </c>
      <c r="I75" s="3"/>
      <c r="J75" s="7">
        <f t="shared" si="13"/>
        <v>7.3920091156852892E-3</v>
      </c>
      <c r="K75" s="3"/>
      <c r="L75" s="8">
        <f t="shared" si="14"/>
        <v>3027.2362977922985</v>
      </c>
      <c r="M75" s="3"/>
      <c r="N75" s="7">
        <f t="shared" si="15"/>
        <v>0.24143578952989156</v>
      </c>
      <c r="O75" s="12"/>
      <c r="P75" s="8">
        <v>209819.1</v>
      </c>
      <c r="Q75" s="3"/>
      <c r="R75" s="7">
        <f t="shared" si="16"/>
        <v>8.7190107732795265E-3</v>
      </c>
      <c r="S75" s="3"/>
      <c r="T75" s="8">
        <v>151037.286559723</v>
      </c>
      <c r="U75" s="3"/>
      <c r="V75" s="7">
        <f t="shared" si="17"/>
        <v>6.6371236657005225E-3</v>
      </c>
      <c r="W75" s="3"/>
      <c r="X75" s="8">
        <f t="shared" si="18"/>
        <v>58781.813440277008</v>
      </c>
      <c r="Y75" s="3"/>
      <c r="Z75" s="7">
        <f t="shared" si="19"/>
        <v>0.3891874303305467</v>
      </c>
    </row>
    <row r="76" spans="1:26" s="70" customFormat="1" ht="15" hidden="1" customHeight="1" outlineLevel="2" x14ac:dyDescent="0.25">
      <c r="A76" s="25"/>
      <c r="B76" s="12" t="str">
        <f>CONCATENATE("          ","6119"," - ","SICK LEAVE")</f>
        <v xml:space="preserve">          6119 - SICK LEAVE</v>
      </c>
      <c r="C76" s="12"/>
      <c r="D76" s="8">
        <v>11916.3</v>
      </c>
      <c r="E76" s="3"/>
      <c r="F76" s="7">
        <f t="shared" si="12"/>
        <v>5.4047677723281021E-3</v>
      </c>
      <c r="G76" s="3"/>
      <c r="H76" s="8">
        <v>15450.5934999538</v>
      </c>
      <c r="I76" s="3"/>
      <c r="J76" s="7">
        <f t="shared" si="13"/>
        <v>9.1088381813407455E-3</v>
      </c>
      <c r="K76" s="3"/>
      <c r="L76" s="8">
        <f t="shared" si="14"/>
        <v>-3534.2934999538011</v>
      </c>
      <c r="M76" s="3"/>
      <c r="N76" s="7">
        <f t="shared" si="15"/>
        <v>-0.22874807365583524</v>
      </c>
      <c r="O76" s="12"/>
      <c r="P76" s="8">
        <v>141668.22</v>
      </c>
      <c r="Q76" s="3"/>
      <c r="R76" s="7">
        <f t="shared" si="16"/>
        <v>5.8870080770117399E-3</v>
      </c>
      <c r="S76" s="3"/>
      <c r="T76" s="8">
        <v>199755.28246006099</v>
      </c>
      <c r="U76" s="3"/>
      <c r="V76" s="7">
        <f t="shared" si="17"/>
        <v>8.7779682935452946E-3</v>
      </c>
      <c r="W76" s="3"/>
      <c r="X76" s="8">
        <f t="shared" si="18"/>
        <v>-58087.062460060988</v>
      </c>
      <c r="Y76" s="3"/>
      <c r="Z76" s="7">
        <f t="shared" si="19"/>
        <v>-0.29079112073882152</v>
      </c>
    </row>
    <row r="77" spans="1:26" s="70" customFormat="1" ht="15" hidden="1" customHeight="1" outlineLevel="2" x14ac:dyDescent="0.25">
      <c r="A77" s="25"/>
      <c r="B77" s="12" t="str">
        <f>CONCATENATE("          ","6156"," - ","EMPLOYEE MEALS")</f>
        <v xml:space="preserve">          6156 - EMPLOYEE MEALS</v>
      </c>
      <c r="C77" s="12"/>
      <c r="D77" s="8">
        <v>9009.08</v>
      </c>
      <c r="E77" s="3"/>
      <c r="F77" s="7">
        <f t="shared" si="12"/>
        <v>4.0861664478341149E-3</v>
      </c>
      <c r="G77" s="3"/>
      <c r="H77" s="8">
        <v>8786</v>
      </c>
      <c r="I77" s="3"/>
      <c r="J77" s="7">
        <f t="shared" si="13"/>
        <v>5.179752626428176E-3</v>
      </c>
      <c r="K77" s="3"/>
      <c r="L77" s="8">
        <f t="shared" si="14"/>
        <v>223.07999999999993</v>
      </c>
      <c r="M77" s="3"/>
      <c r="N77" s="7">
        <f t="shared" si="15"/>
        <v>2.5390393808331427E-2</v>
      </c>
      <c r="O77" s="12"/>
      <c r="P77" s="8">
        <v>92310.14</v>
      </c>
      <c r="Q77" s="3"/>
      <c r="R77" s="7">
        <f t="shared" si="16"/>
        <v>3.8359382207956341E-3</v>
      </c>
      <c r="S77" s="3"/>
      <c r="T77" s="8">
        <v>98681</v>
      </c>
      <c r="U77" s="3"/>
      <c r="V77" s="7">
        <f t="shared" si="17"/>
        <v>4.3363994108568046E-3</v>
      </c>
      <c r="W77" s="3"/>
      <c r="X77" s="8">
        <f t="shared" si="18"/>
        <v>-6370.8600000000006</v>
      </c>
      <c r="Y77" s="3"/>
      <c r="Z77" s="7">
        <f t="shared" si="19"/>
        <v>-6.4560148356826552E-2</v>
      </c>
    </row>
    <row r="78" spans="1:26" s="69" customFormat="1" ht="15" customHeight="1" outlineLevel="1" collapsed="1" x14ac:dyDescent="0.25">
      <c r="A78" s="26"/>
      <c r="B78" s="14" t="str">
        <f>CONCATENATE("     ","*Payroll                                          ")</f>
        <v xml:space="preserve">     *Payroll                                          </v>
      </c>
      <c r="C78" s="14"/>
      <c r="D78" s="2">
        <f>SUM(OSRRefD22_1x_0)</f>
        <v>454005.52</v>
      </c>
      <c r="E78" s="2"/>
      <c r="F78" s="6">
        <f t="shared" si="12"/>
        <v>0.20591915300513261</v>
      </c>
      <c r="G78" s="2"/>
      <c r="H78" s="2">
        <f>SUM(OSRRefH22_1x_0)</f>
        <v>473668.86290563812</v>
      </c>
      <c r="I78" s="2"/>
      <c r="J78" s="6">
        <f t="shared" si="13"/>
        <v>0.27924966272396157</v>
      </c>
      <c r="K78" s="2"/>
      <c r="L78" s="2">
        <f t="shared" si="14"/>
        <v>-19663.342905638099</v>
      </c>
      <c r="M78" s="2"/>
      <c r="N78" s="6">
        <f t="shared" si="15"/>
        <v>-4.1512846728021746E-2</v>
      </c>
      <c r="O78" s="14"/>
      <c r="P78" s="2">
        <f>SUM(OSRRefP22_1x_0)</f>
        <v>5642959.7599999998</v>
      </c>
      <c r="Q78" s="2"/>
      <c r="R78" s="6">
        <f t="shared" si="16"/>
        <v>0.23449260310726167</v>
      </c>
      <c r="S78" s="2"/>
      <c r="T78" s="2">
        <f>SUM(OSRRefT22_1x_0)</f>
        <v>6097675.0669911271</v>
      </c>
      <c r="U78" s="2"/>
      <c r="V78" s="6">
        <f t="shared" si="17"/>
        <v>0.26795385705552793</v>
      </c>
      <c r="W78" s="2"/>
      <c r="X78" s="2">
        <f t="shared" si="18"/>
        <v>-454715.30699112732</v>
      </c>
      <c r="Y78" s="2"/>
      <c r="Z78" s="6">
        <f t="shared" si="19"/>
        <v>-7.457191503244609E-2</v>
      </c>
    </row>
    <row r="79" spans="1:26" s="70" customFormat="1" ht="15" hidden="1" customHeight="1" outlineLevel="2" x14ac:dyDescent="0.25">
      <c r="A79" s="25"/>
      <c r="B79" s="12" t="str">
        <f>CONCATENATE("          ","6001"," - ","ADMINISTRATIVE SALARIES")</f>
        <v xml:space="preserve">          6001 - ADMINISTRATIVE SALARIES</v>
      </c>
      <c r="C79" s="12"/>
      <c r="D79" s="8">
        <v>27131.98</v>
      </c>
      <c r="E79" s="3"/>
      <c r="F79" s="7">
        <f t="shared" si="12"/>
        <v>1.230600531234113E-2</v>
      </c>
      <c r="G79" s="3"/>
      <c r="H79" s="8">
        <v>18547.9230769231</v>
      </c>
      <c r="I79" s="3"/>
      <c r="J79" s="7">
        <f t="shared" si="13"/>
        <v>1.0934856962494899E-2</v>
      </c>
      <c r="K79" s="3"/>
      <c r="L79" s="8">
        <f t="shared" si="14"/>
        <v>8584.0569230768997</v>
      </c>
      <c r="M79" s="3"/>
      <c r="N79" s="7">
        <f t="shared" si="15"/>
        <v>0.46280421195821037</v>
      </c>
      <c r="O79" s="12"/>
      <c r="P79" s="8">
        <v>329676.68</v>
      </c>
      <c r="Q79" s="3"/>
      <c r="R79" s="7">
        <f t="shared" si="16"/>
        <v>1.369967998442004E-2</v>
      </c>
      <c r="S79" s="3"/>
      <c r="T79" s="8">
        <v>222575.07692307699</v>
      </c>
      <c r="U79" s="3"/>
      <c r="V79" s="7">
        <f t="shared" si="17"/>
        <v>9.7807524492114911E-3</v>
      </c>
      <c r="W79" s="3"/>
      <c r="X79" s="8">
        <f t="shared" si="18"/>
        <v>107101.603076923</v>
      </c>
      <c r="Y79" s="3"/>
      <c r="Z79" s="7">
        <f t="shared" si="19"/>
        <v>0.48119315314866912</v>
      </c>
    </row>
    <row r="80" spans="1:26" s="70" customFormat="1" ht="15" hidden="1" customHeight="1" outlineLevel="2" x14ac:dyDescent="0.25">
      <c r="A80" s="25"/>
      <c r="B80" s="12" t="str">
        <f>CONCATENATE("          ","6002"," - ","STAFF SALARIES")</f>
        <v xml:space="preserve">          6002 - STAFF SALARIES</v>
      </c>
      <c r="C80" s="12"/>
      <c r="D80" s="8">
        <v>97417.83</v>
      </c>
      <c r="E80" s="3"/>
      <c r="F80" s="7">
        <f t="shared" si="12"/>
        <v>4.4184918811555417E-2</v>
      </c>
      <c r="G80" s="3"/>
      <c r="H80" s="8">
        <v>110715.778115715</v>
      </c>
      <c r="I80" s="3"/>
      <c r="J80" s="7">
        <f t="shared" si="13"/>
        <v>6.5272062654440466E-2</v>
      </c>
      <c r="K80" s="3"/>
      <c r="L80" s="8">
        <f t="shared" si="14"/>
        <v>-13297.948115715</v>
      </c>
      <c r="M80" s="3"/>
      <c r="N80" s="7">
        <f t="shared" si="15"/>
        <v>-0.12010888007142578</v>
      </c>
      <c r="O80" s="12"/>
      <c r="P80" s="8">
        <v>1333781.3</v>
      </c>
      <c r="Q80" s="3"/>
      <c r="R80" s="7">
        <f t="shared" si="16"/>
        <v>5.542514253420576E-2</v>
      </c>
      <c r="S80" s="3"/>
      <c r="T80" s="8">
        <v>1312409.01442705</v>
      </c>
      <c r="U80" s="3"/>
      <c r="V80" s="7">
        <f t="shared" si="17"/>
        <v>5.7671990321993293E-2</v>
      </c>
      <c r="W80" s="3"/>
      <c r="X80" s="8">
        <f t="shared" si="18"/>
        <v>21372.28557295003</v>
      </c>
      <c r="Y80" s="3"/>
      <c r="Z80" s="7">
        <f t="shared" si="19"/>
        <v>1.6284775049552971E-2</v>
      </c>
    </row>
    <row r="81" spans="1:26" s="70" customFormat="1" ht="15" hidden="1" customHeight="1" outlineLevel="2" x14ac:dyDescent="0.25">
      <c r="A81" s="25"/>
      <c r="B81" s="12" t="str">
        <f>CONCATENATE("          ","6003"," - ","STAFF HOURLY-9 MONTH")</f>
        <v xml:space="preserve">          6003 - STAFF HOURLY-9 MONTH</v>
      </c>
      <c r="C81" s="12"/>
      <c r="D81" s="8"/>
      <c r="E81" s="3"/>
      <c r="F81" s="7">
        <f t="shared" si="12"/>
        <v>0</v>
      </c>
      <c r="G81" s="3"/>
      <c r="H81" s="8">
        <v>0</v>
      </c>
      <c r="I81" s="3"/>
      <c r="J81" s="7">
        <f t="shared" si="13"/>
        <v>0</v>
      </c>
      <c r="K81" s="3"/>
      <c r="L81" s="8">
        <f t="shared" si="14"/>
        <v>0</v>
      </c>
      <c r="M81" s="3"/>
      <c r="N81" s="7">
        <f t="shared" si="15"/>
        <v>0</v>
      </c>
      <c r="O81" s="12"/>
      <c r="P81" s="8"/>
      <c r="Q81" s="3"/>
      <c r="R81" s="7">
        <f t="shared" si="16"/>
        <v>0</v>
      </c>
      <c r="S81" s="3"/>
      <c r="T81" s="8">
        <v>0</v>
      </c>
      <c r="U81" s="3"/>
      <c r="V81" s="7">
        <f t="shared" si="17"/>
        <v>0</v>
      </c>
      <c r="W81" s="3"/>
      <c r="X81" s="8">
        <f t="shared" si="18"/>
        <v>0</v>
      </c>
      <c r="Y81" s="3"/>
      <c r="Z81" s="7">
        <f t="shared" si="19"/>
        <v>0</v>
      </c>
    </row>
    <row r="82" spans="1:26" s="70" customFormat="1" ht="15" hidden="1" customHeight="1" outlineLevel="2" x14ac:dyDescent="0.25">
      <c r="A82" s="25"/>
      <c r="B82" s="12" t="str">
        <f>CONCATENATE("          ","6004"," - ","STAFF HOURLY")</f>
        <v xml:space="preserve">          6004 - STAFF HOURLY</v>
      </c>
      <c r="C82" s="12"/>
      <c r="D82" s="8">
        <v>117080.63</v>
      </c>
      <c r="E82" s="3"/>
      <c r="F82" s="7">
        <f t="shared" si="12"/>
        <v>5.3103196108512773E-2</v>
      </c>
      <c r="G82" s="3"/>
      <c r="H82" s="8">
        <v>148185.039388</v>
      </c>
      <c r="I82" s="3"/>
      <c r="J82" s="7">
        <f t="shared" si="13"/>
        <v>8.7361922031340272E-2</v>
      </c>
      <c r="K82" s="3"/>
      <c r="L82" s="8">
        <f t="shared" si="14"/>
        <v>-31104.409388</v>
      </c>
      <c r="M82" s="3"/>
      <c r="N82" s="7">
        <f t="shared" si="15"/>
        <v>-0.20990249431697239</v>
      </c>
      <c r="O82" s="12"/>
      <c r="P82" s="8">
        <v>1326266.3899999999</v>
      </c>
      <c r="Q82" s="3"/>
      <c r="R82" s="7">
        <f t="shared" si="16"/>
        <v>5.5112861234504124E-2</v>
      </c>
      <c r="S82" s="3"/>
      <c r="T82" s="8">
        <v>1840561.9960660001</v>
      </c>
      <c r="U82" s="3"/>
      <c r="V82" s="7">
        <f t="shared" si="17"/>
        <v>8.0880939141131813E-2</v>
      </c>
      <c r="W82" s="3"/>
      <c r="X82" s="8">
        <f t="shared" si="18"/>
        <v>-514295.60606600018</v>
      </c>
      <c r="Y82" s="3"/>
      <c r="Z82" s="7">
        <f t="shared" si="19"/>
        <v>-0.27942313661004126</v>
      </c>
    </row>
    <row r="83" spans="1:26" s="70" customFormat="1" ht="15" hidden="1" customHeight="1" outlineLevel="2" x14ac:dyDescent="0.25">
      <c r="A83" s="25"/>
      <c r="B83" s="12" t="str">
        <f>CONCATENATE("          ","6005"," - ","TEMPORARY WAGES-HOURLY")</f>
        <v xml:space="preserve">          6005 - TEMPORARY WAGES-HOURLY</v>
      </c>
      <c r="C83" s="12"/>
      <c r="D83" s="8">
        <v>36288.449999999997</v>
      </c>
      <c r="E83" s="3"/>
      <c r="F83" s="7">
        <f t="shared" si="12"/>
        <v>1.6459022101469392E-2</v>
      </c>
      <c r="G83" s="3"/>
      <c r="H83" s="8">
        <v>25539.595549999998</v>
      </c>
      <c r="I83" s="3"/>
      <c r="J83" s="7">
        <f t="shared" si="13"/>
        <v>1.5056770672436357E-2</v>
      </c>
      <c r="K83" s="3"/>
      <c r="L83" s="8">
        <f t="shared" si="14"/>
        <v>10748.854449999999</v>
      </c>
      <c r="M83" s="3"/>
      <c r="N83" s="7">
        <f t="shared" si="15"/>
        <v>0.42087019071842741</v>
      </c>
      <c r="O83" s="12"/>
      <c r="P83" s="8">
        <v>698385.5</v>
      </c>
      <c r="Q83" s="3"/>
      <c r="R83" s="7">
        <f t="shared" si="16"/>
        <v>2.9021336467472257E-2</v>
      </c>
      <c r="S83" s="3"/>
      <c r="T83" s="8">
        <v>371799.8064</v>
      </c>
      <c r="U83" s="3"/>
      <c r="V83" s="7">
        <f t="shared" si="17"/>
        <v>1.6338225812766734E-2</v>
      </c>
      <c r="W83" s="3"/>
      <c r="X83" s="8">
        <f t="shared" si="18"/>
        <v>326585.6936</v>
      </c>
      <c r="Y83" s="3"/>
      <c r="Z83" s="7">
        <f t="shared" si="19"/>
        <v>0.87839124167978588</v>
      </c>
    </row>
    <row r="84" spans="1:26" s="70" customFormat="1" ht="15" hidden="1" customHeight="1" outlineLevel="2" x14ac:dyDescent="0.25">
      <c r="A84" s="25"/>
      <c r="B84" s="12" t="str">
        <f>CONCATENATE("          ","6006"," - ","TEMPORARY PART TIME")</f>
        <v xml:space="preserve">          6006 - TEMPORARY PART TIME</v>
      </c>
      <c r="C84" s="12"/>
      <c r="D84" s="8">
        <v>5104.34</v>
      </c>
      <c r="E84" s="3"/>
      <c r="F84" s="7">
        <f t="shared" si="12"/>
        <v>2.3151290527265367E-3</v>
      </c>
      <c r="G84" s="3"/>
      <c r="H84" s="8">
        <v>0</v>
      </c>
      <c r="I84" s="3"/>
      <c r="J84" s="7">
        <f t="shared" si="13"/>
        <v>0</v>
      </c>
      <c r="K84" s="3"/>
      <c r="L84" s="8">
        <f t="shared" si="14"/>
        <v>5104.34</v>
      </c>
      <c r="M84" s="3"/>
      <c r="N84" s="7">
        <f t="shared" si="15"/>
        <v>0</v>
      </c>
      <c r="O84" s="12"/>
      <c r="P84" s="8">
        <v>35344.199999999997</v>
      </c>
      <c r="Q84" s="3"/>
      <c r="R84" s="7">
        <f t="shared" si="16"/>
        <v>1.4687245373416729E-3</v>
      </c>
      <c r="S84" s="3"/>
      <c r="T84" s="8">
        <v>0</v>
      </c>
      <c r="U84" s="3"/>
      <c r="V84" s="7">
        <f t="shared" si="17"/>
        <v>0</v>
      </c>
      <c r="W84" s="3"/>
      <c r="X84" s="8">
        <f t="shared" si="18"/>
        <v>35344.199999999997</v>
      </c>
      <c r="Y84" s="3"/>
      <c r="Z84" s="7">
        <f t="shared" si="19"/>
        <v>0</v>
      </c>
    </row>
    <row r="85" spans="1:26" s="70" customFormat="1" ht="15" hidden="1" customHeight="1" outlineLevel="2" x14ac:dyDescent="0.25">
      <c r="A85" s="25"/>
      <c r="B85" s="12" t="str">
        <f>CONCATENATE("          ","6007"," - ","STUDENT HOURLY")</f>
        <v xml:space="preserve">          6007 - STUDENT HOURLY</v>
      </c>
      <c r="C85" s="12"/>
      <c r="D85" s="8">
        <v>139239.03</v>
      </c>
      <c r="E85" s="3"/>
      <c r="F85" s="7">
        <f t="shared" si="12"/>
        <v>6.3153379991627082E-2</v>
      </c>
      <c r="G85" s="3"/>
      <c r="H85" s="8">
        <v>32361.471600000001</v>
      </c>
      <c r="I85" s="3"/>
      <c r="J85" s="7">
        <f t="shared" si="13"/>
        <v>1.9078581551921332E-2</v>
      </c>
      <c r="K85" s="3"/>
      <c r="L85" s="8">
        <f t="shared" si="14"/>
        <v>106877.55839999999</v>
      </c>
      <c r="M85" s="3"/>
      <c r="N85" s="7">
        <f t="shared" si="15"/>
        <v>3.3026173754100845</v>
      </c>
      <c r="O85" s="12"/>
      <c r="P85" s="8">
        <v>1537090.8</v>
      </c>
      <c r="Q85" s="3"/>
      <c r="R85" s="7">
        <f t="shared" si="16"/>
        <v>6.3873647559773372E-2</v>
      </c>
      <c r="S85" s="3"/>
      <c r="T85" s="8">
        <v>493576.06</v>
      </c>
      <c r="U85" s="3"/>
      <c r="V85" s="7">
        <f t="shared" si="17"/>
        <v>2.168951404826687E-2</v>
      </c>
      <c r="W85" s="3"/>
      <c r="X85" s="8">
        <f t="shared" si="18"/>
        <v>1043514.74</v>
      </c>
      <c r="Y85" s="3"/>
      <c r="Z85" s="7">
        <f t="shared" si="19"/>
        <v>2.1141923698649405</v>
      </c>
    </row>
    <row r="86" spans="1:26" s="70" customFormat="1" ht="15" hidden="1" customHeight="1" outlineLevel="2" x14ac:dyDescent="0.25">
      <c r="A86" s="25"/>
      <c r="B86" s="12" t="str">
        <f>CONCATENATE("          ","6008"," - ","STUDENT HOURLY-FICA EXEMPT")</f>
        <v xml:space="preserve">          6008 - STUDENT HOURLY-FICA EXEMPT</v>
      </c>
      <c r="C86" s="12"/>
      <c r="D86" s="8">
        <v>31743.26</v>
      </c>
      <c r="E86" s="3"/>
      <c r="F86" s="7">
        <f t="shared" si="12"/>
        <v>1.4397501626900275E-2</v>
      </c>
      <c r="G86" s="3"/>
      <c r="H86" s="8">
        <v>138319.05517499999</v>
      </c>
      <c r="I86" s="3"/>
      <c r="J86" s="7">
        <f t="shared" si="13"/>
        <v>8.154546885132824E-2</v>
      </c>
      <c r="K86" s="3"/>
      <c r="L86" s="8">
        <f t="shared" si="14"/>
        <v>-106575.79517499999</v>
      </c>
      <c r="M86" s="3"/>
      <c r="N86" s="7">
        <f t="shared" si="15"/>
        <v>-0.77050696334038205</v>
      </c>
      <c r="O86" s="12"/>
      <c r="P86" s="8">
        <v>382414.89</v>
      </c>
      <c r="Q86" s="3"/>
      <c r="R86" s="7">
        <f t="shared" si="16"/>
        <v>1.5891210789544447E-2</v>
      </c>
      <c r="S86" s="3"/>
      <c r="T86" s="8">
        <v>1856753.1131750001</v>
      </c>
      <c r="U86" s="3"/>
      <c r="V86" s="7">
        <f t="shared" si="17"/>
        <v>8.1592435282157746E-2</v>
      </c>
      <c r="W86" s="3"/>
      <c r="X86" s="8">
        <f t="shared" si="18"/>
        <v>-1474338.2231749999</v>
      </c>
      <c r="Y86" s="3"/>
      <c r="Z86" s="7">
        <f t="shared" si="19"/>
        <v>-0.79404106701828525</v>
      </c>
    </row>
    <row r="87" spans="1:26" s="70" customFormat="1" ht="15" hidden="1" customHeight="1" outlineLevel="2" x14ac:dyDescent="0.25">
      <c r="A87" s="25"/>
      <c r="B87" s="12" t="str">
        <f>CONCATENATE("          ","6009"," - ","TEMPORARY-SEASONAL")</f>
        <v xml:space="preserve">          6009 - TEMPORARY-SEASONAL</v>
      </c>
      <c r="C87" s="12"/>
      <c r="D87" s="8"/>
      <c r="E87" s="3"/>
      <c r="F87" s="7">
        <f t="shared" si="12"/>
        <v>0</v>
      </c>
      <c r="G87" s="3"/>
      <c r="H87" s="8">
        <v>0</v>
      </c>
      <c r="I87" s="3"/>
      <c r="J87" s="7">
        <f t="shared" si="13"/>
        <v>0</v>
      </c>
      <c r="K87" s="3"/>
      <c r="L87" s="8">
        <f t="shared" si="14"/>
        <v>0</v>
      </c>
      <c r="M87" s="3"/>
      <c r="N87" s="7">
        <f t="shared" si="15"/>
        <v>0</v>
      </c>
      <c r="O87" s="12"/>
      <c r="P87" s="8"/>
      <c r="Q87" s="3"/>
      <c r="R87" s="7">
        <f t="shared" si="16"/>
        <v>0</v>
      </c>
      <c r="S87" s="3"/>
      <c r="T87" s="8">
        <v>0</v>
      </c>
      <c r="U87" s="3"/>
      <c r="V87" s="7">
        <f t="shared" si="17"/>
        <v>0</v>
      </c>
      <c r="W87" s="3"/>
      <c r="X87" s="8">
        <f t="shared" si="18"/>
        <v>0</v>
      </c>
      <c r="Y87" s="3"/>
      <c r="Z87" s="7">
        <f t="shared" si="19"/>
        <v>0</v>
      </c>
    </row>
    <row r="88" spans="1:26" s="70" customFormat="1" ht="15" hidden="1" customHeight="1" outlineLevel="2" x14ac:dyDescent="0.25">
      <c r="A88" s="25"/>
      <c r="B88" s="12" t="str">
        <f>CONCATENATE("          ","6010"," - ","GRATUITY")</f>
        <v xml:space="preserve">          6010 - GRATUITY</v>
      </c>
      <c r="C88" s="12"/>
      <c r="D88" s="8"/>
      <c r="E88" s="3"/>
      <c r="F88" s="7">
        <f t="shared" si="12"/>
        <v>0</v>
      </c>
      <c r="G88" s="3"/>
      <c r="H88" s="8">
        <v>0</v>
      </c>
      <c r="I88" s="3"/>
      <c r="J88" s="7">
        <f t="shared" si="13"/>
        <v>0</v>
      </c>
      <c r="K88" s="3"/>
      <c r="L88" s="8">
        <f t="shared" si="14"/>
        <v>0</v>
      </c>
      <c r="M88" s="3"/>
      <c r="N88" s="7">
        <f t="shared" si="15"/>
        <v>0</v>
      </c>
      <c r="O88" s="12"/>
      <c r="P88" s="8"/>
      <c r="Q88" s="3"/>
      <c r="R88" s="7">
        <f t="shared" si="16"/>
        <v>0</v>
      </c>
      <c r="S88" s="3"/>
      <c r="T88" s="8">
        <v>0</v>
      </c>
      <c r="U88" s="3"/>
      <c r="V88" s="7">
        <f t="shared" si="17"/>
        <v>0</v>
      </c>
      <c r="W88" s="3"/>
      <c r="X88" s="8">
        <f t="shared" si="18"/>
        <v>0</v>
      </c>
      <c r="Y88" s="3"/>
      <c r="Z88" s="7">
        <f t="shared" si="19"/>
        <v>0</v>
      </c>
    </row>
    <row r="89" spans="1:26" s="69" customFormat="1" ht="15" customHeight="1" outlineLevel="1" collapsed="1" x14ac:dyDescent="0.25">
      <c r="A89" s="26"/>
      <c r="B89" s="14" t="str">
        <f>CONCATENATE("     ","Advertising/Promo                                 ")</f>
        <v xml:space="preserve">     Advertising/Promo                                 </v>
      </c>
      <c r="C89" s="14"/>
      <c r="D89" s="2">
        <f>SUM(OSRRefD22_2x_0)</f>
        <v>2715.27</v>
      </c>
      <c r="E89" s="2"/>
      <c r="F89" s="6">
        <f t="shared" si="12"/>
        <v>1.2315403094223312E-3</v>
      </c>
      <c r="G89" s="2"/>
      <c r="H89" s="2">
        <f>SUM(OSRRefH22_2x_0)</f>
        <v>2019</v>
      </c>
      <c r="I89" s="2"/>
      <c r="J89" s="6">
        <f t="shared" si="13"/>
        <v>1.1902937119005789E-3</v>
      </c>
      <c r="K89" s="2"/>
      <c r="L89" s="2">
        <f t="shared" si="14"/>
        <v>696.27</v>
      </c>
      <c r="M89" s="2"/>
      <c r="N89" s="6">
        <f t="shared" si="15"/>
        <v>0.34485884101040121</v>
      </c>
      <c r="O89" s="14"/>
      <c r="P89" s="2">
        <f>SUM(OSRRefP22_2x_0)</f>
        <v>21960.29</v>
      </c>
      <c r="Q89" s="2"/>
      <c r="R89" s="6">
        <f t="shared" si="16"/>
        <v>9.1255755598199898E-4</v>
      </c>
      <c r="S89" s="2"/>
      <c r="T89" s="2">
        <f>SUM(OSRRefT22_2x_0)</f>
        <v>24609</v>
      </c>
      <c r="U89" s="2"/>
      <c r="V89" s="6">
        <f t="shared" si="17"/>
        <v>1.0814083065815619E-3</v>
      </c>
      <c r="W89" s="2"/>
      <c r="X89" s="2">
        <f t="shared" si="18"/>
        <v>-2648.7099999999991</v>
      </c>
      <c r="Y89" s="2"/>
      <c r="Z89" s="6">
        <f t="shared" si="19"/>
        <v>-0.10763176073794137</v>
      </c>
    </row>
    <row r="90" spans="1:26" s="70" customFormat="1" ht="15" hidden="1" customHeight="1" outlineLevel="2" x14ac:dyDescent="0.25">
      <c r="A90" s="25"/>
      <c r="B90" s="12" t="str">
        <f>CONCATENATE("          ","6362"," - ","ADVERTISING EXPENSE")</f>
        <v xml:space="preserve">          6362 - ADVERTISING EXPENSE</v>
      </c>
      <c r="C90" s="12"/>
      <c r="D90" s="8">
        <v>2715.27</v>
      </c>
      <c r="E90" s="3"/>
      <c r="F90" s="7">
        <f t="shared" si="12"/>
        <v>1.2315403094223312E-3</v>
      </c>
      <c r="G90" s="3"/>
      <c r="H90" s="8">
        <v>2019</v>
      </c>
      <c r="I90" s="3"/>
      <c r="J90" s="7">
        <f t="shared" si="13"/>
        <v>1.1902937119005789E-3</v>
      </c>
      <c r="K90" s="3"/>
      <c r="L90" s="8">
        <f t="shared" si="14"/>
        <v>696.27</v>
      </c>
      <c r="M90" s="3"/>
      <c r="N90" s="7">
        <f t="shared" si="15"/>
        <v>0.34485884101040121</v>
      </c>
      <c r="O90" s="12"/>
      <c r="P90" s="8">
        <v>21960.29</v>
      </c>
      <c r="Q90" s="3"/>
      <c r="R90" s="7">
        <f t="shared" si="16"/>
        <v>9.1255755598199898E-4</v>
      </c>
      <c r="S90" s="3"/>
      <c r="T90" s="8">
        <v>24609</v>
      </c>
      <c r="U90" s="3"/>
      <c r="V90" s="7">
        <f t="shared" si="17"/>
        <v>1.0814083065815619E-3</v>
      </c>
      <c r="W90" s="3"/>
      <c r="X90" s="8">
        <f t="shared" si="18"/>
        <v>-2648.7099999999991</v>
      </c>
      <c r="Y90" s="3"/>
      <c r="Z90" s="7">
        <f t="shared" si="19"/>
        <v>-0.10763176073794137</v>
      </c>
    </row>
    <row r="91" spans="1:26" s="69" customFormat="1" ht="15" customHeight="1" outlineLevel="1" collapsed="1" x14ac:dyDescent="0.25">
      <c r="A91" s="26"/>
      <c r="B91" s="14" t="str">
        <f>CONCATENATE("     ","Bad Debts/Over/Short                              ")</f>
        <v xml:space="preserve">     Bad Debts/Over/Short                              </v>
      </c>
      <c r="C91" s="14"/>
      <c r="D91" s="2">
        <f>SUM(OSRRefD22_3x_0)</f>
        <v>-2.14</v>
      </c>
      <c r="E91" s="2"/>
      <c r="F91" s="6">
        <f t="shared" si="12"/>
        <v>-9.7062032953031888E-7</v>
      </c>
      <c r="G91" s="2"/>
      <c r="H91" s="2">
        <f>SUM(OSRRefH22_3x_0)</f>
        <v>268</v>
      </c>
      <c r="I91" s="2"/>
      <c r="J91" s="6">
        <f t="shared" si="13"/>
        <v>1.5799837285257809E-4</v>
      </c>
      <c r="K91" s="2"/>
      <c r="L91" s="2">
        <f t="shared" si="14"/>
        <v>-270.14</v>
      </c>
      <c r="M91" s="2"/>
      <c r="N91" s="6">
        <f t="shared" si="15"/>
        <v>-1.0079850746268657</v>
      </c>
      <c r="O91" s="14"/>
      <c r="P91" s="2">
        <f>SUM(OSRRefP22_3x_0)</f>
        <v>-21.33</v>
      </c>
      <c r="Q91" s="2"/>
      <c r="R91" s="6">
        <f t="shared" si="16"/>
        <v>-8.8636592090068193E-7</v>
      </c>
      <c r="S91" s="2"/>
      <c r="T91" s="2">
        <f>SUM(OSRRefT22_3x_0)</f>
        <v>3000</v>
      </c>
      <c r="U91" s="2"/>
      <c r="V91" s="6">
        <f t="shared" si="17"/>
        <v>1.3183083098641498E-4</v>
      </c>
      <c r="W91" s="2"/>
      <c r="X91" s="2">
        <f t="shared" si="18"/>
        <v>-3021.33</v>
      </c>
      <c r="Y91" s="2"/>
      <c r="Z91" s="6">
        <f t="shared" si="19"/>
        <v>-1.0071099999999999</v>
      </c>
    </row>
    <row r="92" spans="1:26" s="70" customFormat="1" ht="15" hidden="1" customHeight="1" outlineLevel="2" x14ac:dyDescent="0.25">
      <c r="A92" s="25"/>
      <c r="B92" s="12" t="str">
        <f>CONCATENATE("          ","6272"," - ","CASH (OVER/SHORT)")</f>
        <v xml:space="preserve">          6272 - CASH (OVER/SHORT)</v>
      </c>
      <c r="C92" s="12"/>
      <c r="D92" s="8">
        <v>-2.14</v>
      </c>
      <c r="E92" s="3"/>
      <c r="F92" s="7">
        <f t="shared" si="12"/>
        <v>-9.7062032953031888E-7</v>
      </c>
      <c r="G92" s="3"/>
      <c r="H92" s="8">
        <v>268</v>
      </c>
      <c r="I92" s="3"/>
      <c r="J92" s="7">
        <f t="shared" si="13"/>
        <v>1.5799837285257809E-4</v>
      </c>
      <c r="K92" s="3"/>
      <c r="L92" s="8">
        <f t="shared" si="14"/>
        <v>-270.14</v>
      </c>
      <c r="M92" s="3"/>
      <c r="N92" s="7">
        <f t="shared" si="15"/>
        <v>-1.0079850746268657</v>
      </c>
      <c r="O92" s="12"/>
      <c r="P92" s="8">
        <v>-21.33</v>
      </c>
      <c r="Q92" s="3"/>
      <c r="R92" s="7">
        <f t="shared" si="16"/>
        <v>-8.8636592090068193E-7</v>
      </c>
      <c r="S92" s="3"/>
      <c r="T92" s="8">
        <v>3000</v>
      </c>
      <c r="U92" s="3"/>
      <c r="V92" s="7">
        <f t="shared" si="17"/>
        <v>1.3183083098641498E-4</v>
      </c>
      <c r="W92" s="3"/>
      <c r="X92" s="8">
        <f t="shared" si="18"/>
        <v>-3021.33</v>
      </c>
      <c r="Y92" s="3"/>
      <c r="Z92" s="7">
        <f t="shared" si="19"/>
        <v>-1.0071099999999999</v>
      </c>
    </row>
    <row r="93" spans="1:26" s="69" customFormat="1" ht="15" customHeight="1" outlineLevel="1" collapsed="1" x14ac:dyDescent="0.25">
      <c r="A93" s="26"/>
      <c r="B93" s="14" t="str">
        <f>CONCATENATE("     ","Bank/card Fees                                    ")</f>
        <v xml:space="preserve">     Bank/card Fees                                    </v>
      </c>
      <c r="C93" s="14"/>
      <c r="D93" s="2">
        <f>SUM(OSRRefD22_4x_0)</f>
        <v>25944.12</v>
      </c>
      <c r="E93" s="2"/>
      <c r="F93" s="6">
        <f t="shared" si="12"/>
        <v>1.176723845970754E-2</v>
      </c>
      <c r="G93" s="2"/>
      <c r="H93" s="2">
        <f>SUM(OSRRefH22_4x_0)</f>
        <v>29226</v>
      </c>
      <c r="I93" s="2"/>
      <c r="J93" s="6">
        <f t="shared" si="13"/>
        <v>1.7230076287274056E-2</v>
      </c>
      <c r="K93" s="2"/>
      <c r="L93" s="2">
        <f t="shared" si="14"/>
        <v>-3281.880000000001</v>
      </c>
      <c r="M93" s="2"/>
      <c r="N93" s="6">
        <f t="shared" si="15"/>
        <v>-0.112293163621433</v>
      </c>
      <c r="O93" s="14"/>
      <c r="P93" s="2">
        <f>SUM(OSRRefP22_4x_0)</f>
        <v>223827.8</v>
      </c>
      <c r="Q93" s="2"/>
      <c r="R93" s="6">
        <f t="shared" si="16"/>
        <v>9.3011408377952961E-3</v>
      </c>
      <c r="S93" s="2"/>
      <c r="T93" s="2">
        <f>SUM(OSRRefT22_4x_0)</f>
        <v>315989.75</v>
      </c>
      <c r="U93" s="2"/>
      <c r="V93" s="6">
        <f t="shared" si="17"/>
        <v>1.3885730441896506E-2</v>
      </c>
      <c r="W93" s="2"/>
      <c r="X93" s="2">
        <f t="shared" si="18"/>
        <v>-92161.950000000012</v>
      </c>
      <c r="Y93" s="2"/>
      <c r="Z93" s="6">
        <f t="shared" si="19"/>
        <v>-0.29166120103579313</v>
      </c>
    </row>
    <row r="94" spans="1:26" s="70" customFormat="1" ht="15" hidden="1" customHeight="1" outlineLevel="2" x14ac:dyDescent="0.25">
      <c r="A94" s="25"/>
      <c r="B94" s="12" t="str">
        <f>CONCATENATE("          ","6381"," - ","BANK/CREDIT CARD FEES")</f>
        <v xml:space="preserve">          6381 - BANK/CREDIT CARD FEES</v>
      </c>
      <c r="C94" s="12"/>
      <c r="D94" s="8">
        <v>25944.12</v>
      </c>
      <c r="E94" s="3"/>
      <c r="F94" s="7">
        <f t="shared" si="12"/>
        <v>1.176723845970754E-2</v>
      </c>
      <c r="G94" s="3"/>
      <c r="H94" s="8">
        <v>29226</v>
      </c>
      <c r="I94" s="3"/>
      <c r="J94" s="7">
        <f t="shared" si="13"/>
        <v>1.7230076287274056E-2</v>
      </c>
      <c r="K94" s="3"/>
      <c r="L94" s="8">
        <f t="shared" si="14"/>
        <v>-3281.880000000001</v>
      </c>
      <c r="M94" s="3"/>
      <c r="N94" s="7">
        <f t="shared" si="15"/>
        <v>-0.112293163621433</v>
      </c>
      <c r="O94" s="12"/>
      <c r="P94" s="8">
        <v>223827.8</v>
      </c>
      <c r="Q94" s="3"/>
      <c r="R94" s="7">
        <f t="shared" si="16"/>
        <v>9.3011408377952961E-3</v>
      </c>
      <c r="S94" s="3"/>
      <c r="T94" s="8">
        <v>315989.75</v>
      </c>
      <c r="U94" s="3"/>
      <c r="V94" s="7">
        <f t="shared" si="17"/>
        <v>1.3885730441896506E-2</v>
      </c>
      <c r="W94" s="3"/>
      <c r="X94" s="8">
        <f t="shared" si="18"/>
        <v>-92161.950000000012</v>
      </c>
      <c r="Y94" s="3"/>
      <c r="Z94" s="7">
        <f t="shared" si="19"/>
        <v>-0.29166120103579313</v>
      </c>
    </row>
    <row r="95" spans="1:26" s="69" customFormat="1" ht="15" customHeight="1" outlineLevel="1" collapsed="1" x14ac:dyDescent="0.25">
      <c r="A95" s="26"/>
      <c r="B95" s="14" t="str">
        <f>CONCATENATE("     ","Depreciation                                      ")</f>
        <v xml:space="preserve">     Depreciation                                      </v>
      </c>
      <c r="C95" s="14"/>
      <c r="D95" s="2">
        <f>SUM(OSRRefD22_5x_0)</f>
        <v>60468.06</v>
      </c>
      <c r="E95" s="2"/>
      <c r="F95" s="6">
        <f t="shared" si="12"/>
        <v>2.7425947814607051E-2</v>
      </c>
      <c r="G95" s="2"/>
      <c r="H95" s="2">
        <f>SUM(OSRRefH22_5x_0)</f>
        <v>55277</v>
      </c>
      <c r="I95" s="2"/>
      <c r="J95" s="6">
        <f t="shared" si="13"/>
        <v>3.2588343493178948E-2</v>
      </c>
      <c r="K95" s="2"/>
      <c r="L95" s="2">
        <f t="shared" si="14"/>
        <v>5191.0599999999977</v>
      </c>
      <c r="M95" s="2"/>
      <c r="N95" s="6">
        <f t="shared" si="15"/>
        <v>9.3909944461530073E-2</v>
      </c>
      <c r="O95" s="14"/>
      <c r="P95" s="2">
        <f>SUM(OSRRefP22_5x_0)</f>
        <v>750998.76</v>
      </c>
      <c r="Q95" s="2"/>
      <c r="R95" s="6">
        <f t="shared" si="16"/>
        <v>3.1207674988404606E-2</v>
      </c>
      <c r="S95" s="2"/>
      <c r="T95" s="2">
        <f>SUM(OSRRefT22_5x_0)</f>
        <v>735182</v>
      </c>
      <c r="U95" s="2"/>
      <c r="V95" s="6">
        <f t="shared" si="17"/>
        <v>3.2306551328751508E-2</v>
      </c>
      <c r="W95" s="2"/>
      <c r="X95" s="2">
        <f t="shared" si="18"/>
        <v>15816.760000000009</v>
      </c>
      <c r="Y95" s="2"/>
      <c r="Z95" s="6">
        <f t="shared" si="19"/>
        <v>2.1514074066013598E-2</v>
      </c>
    </row>
    <row r="96" spans="1:26" s="70" customFormat="1" ht="15" hidden="1" customHeight="1" outlineLevel="2" x14ac:dyDescent="0.25">
      <c r="A96" s="25"/>
      <c r="B96" s="12" t="str">
        <f>CONCATENATE("          ","6321"," - ","BUILDING DEPRECIATION")</f>
        <v xml:space="preserve">          6321 - BUILDING DEPRECIATION</v>
      </c>
      <c r="C96" s="12"/>
      <c r="D96" s="8">
        <v>41941.620000000003</v>
      </c>
      <c r="E96" s="3"/>
      <c r="F96" s="7">
        <f t="shared" si="12"/>
        <v>1.9023078983848325E-2</v>
      </c>
      <c r="G96" s="3"/>
      <c r="H96" s="8"/>
      <c r="I96" s="3"/>
      <c r="J96" s="7">
        <f t="shared" si="13"/>
        <v>0</v>
      </c>
      <c r="K96" s="3"/>
      <c r="L96" s="8">
        <f t="shared" si="14"/>
        <v>41941.620000000003</v>
      </c>
      <c r="M96" s="3"/>
      <c r="N96" s="7">
        <f t="shared" si="15"/>
        <v>0</v>
      </c>
      <c r="O96" s="12"/>
      <c r="P96" s="8">
        <v>480704.7</v>
      </c>
      <c r="Q96" s="3"/>
      <c r="R96" s="7">
        <f t="shared" si="16"/>
        <v>1.9975633572282516E-2</v>
      </c>
      <c r="S96" s="3"/>
      <c r="T96" s="8"/>
      <c r="U96" s="3"/>
      <c r="V96" s="7">
        <f t="shared" si="17"/>
        <v>0</v>
      </c>
      <c r="W96" s="3"/>
      <c r="X96" s="8">
        <f t="shared" si="18"/>
        <v>480704.7</v>
      </c>
      <c r="Y96" s="3"/>
      <c r="Z96" s="7">
        <f t="shared" si="19"/>
        <v>0</v>
      </c>
    </row>
    <row r="97" spans="1:26" s="70" customFormat="1" ht="15" hidden="1" customHeight="1" outlineLevel="2" x14ac:dyDescent="0.25">
      <c r="A97" s="25"/>
      <c r="B97" s="12" t="str">
        <f>CONCATENATE("          ","6322"," - ","EQUIPMENT DEPRECIATION EXPENSE")</f>
        <v xml:space="preserve">          6322 - EQUIPMENT DEPRECIATION EXPENSE</v>
      </c>
      <c r="C97" s="12"/>
      <c r="D97" s="8">
        <v>18526.439999999999</v>
      </c>
      <c r="E97" s="3"/>
      <c r="F97" s="7">
        <f t="shared" si="12"/>
        <v>8.4028688307587283E-3</v>
      </c>
      <c r="G97" s="3"/>
      <c r="H97" s="8">
        <v>55277</v>
      </c>
      <c r="I97" s="3"/>
      <c r="J97" s="7">
        <f t="shared" si="13"/>
        <v>3.2588343493178948E-2</v>
      </c>
      <c r="K97" s="3"/>
      <c r="L97" s="8">
        <f t="shared" si="14"/>
        <v>-36750.559999999998</v>
      </c>
      <c r="M97" s="3"/>
      <c r="N97" s="7">
        <f t="shared" si="15"/>
        <v>-0.66484360583968016</v>
      </c>
      <c r="O97" s="12"/>
      <c r="P97" s="8">
        <v>270294.06</v>
      </c>
      <c r="Q97" s="3"/>
      <c r="R97" s="7">
        <f t="shared" si="16"/>
        <v>1.123204141612209E-2</v>
      </c>
      <c r="S97" s="3"/>
      <c r="T97" s="8">
        <v>735182</v>
      </c>
      <c r="U97" s="3"/>
      <c r="V97" s="7">
        <f t="shared" si="17"/>
        <v>3.2306551328751508E-2</v>
      </c>
      <c r="W97" s="3"/>
      <c r="X97" s="8">
        <f t="shared" si="18"/>
        <v>-464887.94</v>
      </c>
      <c r="Y97" s="3"/>
      <c r="Z97" s="7">
        <f t="shared" si="19"/>
        <v>-0.63234401821589759</v>
      </c>
    </row>
    <row r="98" spans="1:26" s="69" customFormat="1" ht="15" customHeight="1" outlineLevel="1" collapsed="1" x14ac:dyDescent="0.25">
      <c r="A98" s="26"/>
      <c r="B98" s="14" t="str">
        <f>CONCATENATE("     ","Discounts and Markdowns                           ")</f>
        <v xml:space="preserve">     Discounts and Markdowns                           </v>
      </c>
      <c r="C98" s="14"/>
      <c r="D98" s="2">
        <f>SUM(OSRRefD22_6x_0)</f>
        <v>-17.57</v>
      </c>
      <c r="E98" s="2"/>
      <c r="F98" s="6">
        <f t="shared" ref="F98:F129" si="20">IF(D$12=0,0,D98/D$12)</f>
        <v>-7.9690650419849081E-6</v>
      </c>
      <c r="G98" s="2"/>
      <c r="H98" s="2">
        <f>SUM(OSRRefH22_6x_0)</f>
        <v>0</v>
      </c>
      <c r="I98" s="2"/>
      <c r="J98" s="6">
        <f t="shared" ref="J98:J129" si="21">IF(H$12=0,0,H98/H$12)</f>
        <v>0</v>
      </c>
      <c r="K98" s="2"/>
      <c r="L98" s="2">
        <f t="shared" ref="L98:L129" si="22">+D98-H98</f>
        <v>-17.57</v>
      </c>
      <c r="M98" s="2"/>
      <c r="N98" s="6">
        <f t="shared" ref="N98:N129" si="23">IF(H98=0,0,L98/H98)</f>
        <v>0</v>
      </c>
      <c r="O98" s="14"/>
      <c r="P98" s="2">
        <f>SUM(OSRRefP22_6x_0)</f>
        <v>1989.08</v>
      </c>
      <c r="Q98" s="2"/>
      <c r="R98" s="6">
        <f t="shared" ref="R98:R129" si="24">IF(P$12=0,0,P98/P$12)</f>
        <v>8.2656011530479536E-5</v>
      </c>
      <c r="S98" s="2"/>
      <c r="T98" s="2">
        <f>SUM(OSRRefT22_6x_0)</f>
        <v>0</v>
      </c>
      <c r="U98" s="2"/>
      <c r="V98" s="6">
        <f t="shared" ref="V98:V129" si="25">IF(T$12=0,0,T98/T$12)</f>
        <v>0</v>
      </c>
      <c r="W98" s="2"/>
      <c r="X98" s="2">
        <f t="shared" ref="X98:X129" si="26">+P98-T98</f>
        <v>1989.08</v>
      </c>
      <c r="Y98" s="2"/>
      <c r="Z98" s="6">
        <f t="shared" ref="Z98:Z129" si="27">IF(T98=0,0,X98/T98)</f>
        <v>0</v>
      </c>
    </row>
    <row r="99" spans="1:26" s="70" customFormat="1" ht="15" hidden="1" customHeight="1" outlineLevel="2" x14ac:dyDescent="0.25">
      <c r="A99" s="25"/>
      <c r="B99" s="12" t="str">
        <f>CONCATENATE("          ","6382"," - ","DISCOUNTS/MARK DOWNS")</f>
        <v xml:space="preserve">          6382 - DISCOUNTS/MARK DOWNS</v>
      </c>
      <c r="C99" s="12"/>
      <c r="D99" s="8"/>
      <c r="E99" s="3"/>
      <c r="F99" s="7">
        <f t="shared" si="20"/>
        <v>0</v>
      </c>
      <c r="G99" s="3"/>
      <c r="H99" s="8"/>
      <c r="I99" s="3"/>
      <c r="J99" s="7">
        <f t="shared" si="21"/>
        <v>0</v>
      </c>
      <c r="K99" s="3"/>
      <c r="L99" s="8">
        <f t="shared" si="22"/>
        <v>0</v>
      </c>
      <c r="M99" s="3"/>
      <c r="N99" s="7">
        <f t="shared" si="23"/>
        <v>0</v>
      </c>
      <c r="O99" s="12"/>
      <c r="P99" s="8">
        <v>2171.35</v>
      </c>
      <c r="Q99" s="3"/>
      <c r="R99" s="7">
        <f t="shared" si="24"/>
        <v>9.0230222332287653E-5</v>
      </c>
      <c r="S99" s="3"/>
      <c r="T99" s="8">
        <v>0</v>
      </c>
      <c r="U99" s="3"/>
      <c r="V99" s="7">
        <f t="shared" si="25"/>
        <v>0</v>
      </c>
      <c r="W99" s="3"/>
      <c r="X99" s="8">
        <f t="shared" si="26"/>
        <v>2171.35</v>
      </c>
      <c r="Y99" s="3"/>
      <c r="Z99" s="7">
        <f t="shared" si="27"/>
        <v>0</v>
      </c>
    </row>
    <row r="100" spans="1:26" s="70" customFormat="1" ht="15" hidden="1" customHeight="1" outlineLevel="2" x14ac:dyDescent="0.25">
      <c r="A100" s="25"/>
      <c r="B100" s="12" t="str">
        <f>CONCATENATE("          ","9175"," - ","EARNED DISCOUNTS")</f>
        <v xml:space="preserve">          9175 - EARNED DISCOUNTS</v>
      </c>
      <c r="C100" s="12"/>
      <c r="D100" s="8">
        <v>-17.57</v>
      </c>
      <c r="E100" s="3"/>
      <c r="F100" s="7">
        <f t="shared" si="20"/>
        <v>-7.9690650419849081E-6</v>
      </c>
      <c r="G100" s="3"/>
      <c r="H100" s="8"/>
      <c r="I100" s="3"/>
      <c r="J100" s="7">
        <f t="shared" si="21"/>
        <v>0</v>
      </c>
      <c r="K100" s="3"/>
      <c r="L100" s="8">
        <f t="shared" si="22"/>
        <v>-17.57</v>
      </c>
      <c r="M100" s="3"/>
      <c r="N100" s="7">
        <f t="shared" si="23"/>
        <v>0</v>
      </c>
      <c r="O100" s="12"/>
      <c r="P100" s="8">
        <v>-182.27</v>
      </c>
      <c r="Q100" s="3"/>
      <c r="R100" s="7">
        <f t="shared" si="24"/>
        <v>-7.5742108018081253E-6</v>
      </c>
      <c r="S100" s="3"/>
      <c r="T100" s="8"/>
      <c r="U100" s="3"/>
      <c r="V100" s="7">
        <f t="shared" si="25"/>
        <v>0</v>
      </c>
      <c r="W100" s="3"/>
      <c r="X100" s="8">
        <f t="shared" si="26"/>
        <v>-182.27</v>
      </c>
      <c r="Y100" s="3"/>
      <c r="Z100" s="7">
        <f t="shared" si="27"/>
        <v>0</v>
      </c>
    </row>
    <row r="101" spans="1:26" s="69" customFormat="1" ht="15" customHeight="1" outlineLevel="1" collapsed="1" x14ac:dyDescent="0.25">
      <c r="A101" s="26"/>
      <c r="B101" s="14" t="str">
        <f>CONCATENATE("     ","Donations                                         ")</f>
        <v xml:space="preserve">     Donations                                         </v>
      </c>
      <c r="C101" s="14"/>
      <c r="D101" s="2">
        <f>SUM(OSRRefD22_7x_0)</f>
        <v>3994.53</v>
      </c>
      <c r="E101" s="2"/>
      <c r="F101" s="6">
        <f t="shared" si="20"/>
        <v>1.8117626284667031E-3</v>
      </c>
      <c r="G101" s="2"/>
      <c r="H101" s="2">
        <f>SUM(OSRRefH22_7x_0)</f>
        <v>16750</v>
      </c>
      <c r="I101" s="2"/>
      <c r="J101" s="6">
        <f t="shared" si="21"/>
        <v>9.8748983032861306E-3</v>
      </c>
      <c r="K101" s="2"/>
      <c r="L101" s="2">
        <f t="shared" si="22"/>
        <v>-12755.47</v>
      </c>
      <c r="M101" s="2"/>
      <c r="N101" s="6">
        <f t="shared" si="23"/>
        <v>-0.76152059701492536</v>
      </c>
      <c r="O101" s="14"/>
      <c r="P101" s="2">
        <f>SUM(OSRRefP22_7x_0)</f>
        <v>77992.600000000006</v>
      </c>
      <c r="Q101" s="2"/>
      <c r="R101" s="6">
        <f t="shared" si="24"/>
        <v>3.2409743423552993E-3</v>
      </c>
      <c r="S101" s="2"/>
      <c r="T101" s="2">
        <f>SUM(OSRRefT22_7x_0)</f>
        <v>168750</v>
      </c>
      <c r="U101" s="2"/>
      <c r="V101" s="6">
        <f t="shared" si="25"/>
        <v>7.4154842429858415E-3</v>
      </c>
      <c r="W101" s="2"/>
      <c r="X101" s="2">
        <f t="shared" si="26"/>
        <v>-90757.4</v>
      </c>
      <c r="Y101" s="2"/>
      <c r="Z101" s="6">
        <f t="shared" si="27"/>
        <v>-0.53782162962962965</v>
      </c>
    </row>
    <row r="102" spans="1:26" s="70" customFormat="1" ht="15" hidden="1" customHeight="1" outlineLevel="2" x14ac:dyDescent="0.25">
      <c r="A102" s="25"/>
      <c r="B102" s="12" t="str">
        <f>CONCATENATE("          ","6399"," - ","DONATION-ON CAMPUS")</f>
        <v xml:space="preserve">          6399 - DONATION-ON CAMPUS</v>
      </c>
      <c r="C102" s="12"/>
      <c r="D102" s="8">
        <v>3994.53</v>
      </c>
      <c r="E102" s="3"/>
      <c r="F102" s="7">
        <f t="shared" si="20"/>
        <v>1.8117626284667031E-3</v>
      </c>
      <c r="G102" s="3"/>
      <c r="H102" s="8">
        <v>16750</v>
      </c>
      <c r="I102" s="3"/>
      <c r="J102" s="7">
        <f t="shared" si="21"/>
        <v>9.8748983032861306E-3</v>
      </c>
      <c r="K102" s="3"/>
      <c r="L102" s="8">
        <f t="shared" si="22"/>
        <v>-12755.47</v>
      </c>
      <c r="M102" s="3"/>
      <c r="N102" s="7">
        <f t="shared" si="23"/>
        <v>-0.76152059701492536</v>
      </c>
      <c r="O102" s="12"/>
      <c r="P102" s="8">
        <v>77992.600000000006</v>
      </c>
      <c r="Q102" s="3"/>
      <c r="R102" s="7">
        <f t="shared" si="24"/>
        <v>3.2409743423552993E-3</v>
      </c>
      <c r="S102" s="3"/>
      <c r="T102" s="8">
        <v>168750</v>
      </c>
      <c r="U102" s="3"/>
      <c r="V102" s="7">
        <f t="shared" si="25"/>
        <v>7.4154842429858415E-3</v>
      </c>
      <c r="W102" s="3"/>
      <c r="X102" s="8">
        <f t="shared" si="26"/>
        <v>-90757.4</v>
      </c>
      <c r="Y102" s="3"/>
      <c r="Z102" s="7">
        <f t="shared" si="27"/>
        <v>-0.53782162962962965</v>
      </c>
    </row>
    <row r="103" spans="1:26" s="69" customFormat="1" ht="15" customHeight="1" outlineLevel="1" collapsed="1" x14ac:dyDescent="0.25">
      <c r="A103" s="26"/>
      <c r="B103" s="14" t="str">
        <f>CONCATENATE("     ","Employees' Appreciation                           ")</f>
        <v xml:space="preserve">     Employees' Appreciation                           </v>
      </c>
      <c r="C103" s="14"/>
      <c r="D103" s="2">
        <f>SUM(OSRRefD22_8x_0)</f>
        <v>37.700000000000003</v>
      </c>
      <c r="E103" s="2"/>
      <c r="F103" s="6">
        <f t="shared" si="20"/>
        <v>1.7099245992193002E-5</v>
      </c>
      <c r="G103" s="2"/>
      <c r="H103" s="2">
        <f>SUM(OSRRefH22_8x_0)</f>
        <v>805</v>
      </c>
      <c r="I103" s="2"/>
      <c r="J103" s="6">
        <f t="shared" si="21"/>
        <v>4.7458466472509464E-4</v>
      </c>
      <c r="K103" s="2"/>
      <c r="L103" s="2">
        <f t="shared" si="22"/>
        <v>-767.3</v>
      </c>
      <c r="M103" s="2"/>
      <c r="N103" s="6">
        <f t="shared" si="23"/>
        <v>-0.95316770186335398</v>
      </c>
      <c r="O103" s="14"/>
      <c r="P103" s="2">
        <f>SUM(OSRRefP22_8x_0)</f>
        <v>5059.6099999999997</v>
      </c>
      <c r="Q103" s="2"/>
      <c r="R103" s="6">
        <f t="shared" si="24"/>
        <v>2.1025156479363802E-4</v>
      </c>
      <c r="S103" s="2"/>
      <c r="T103" s="2">
        <f>SUM(OSRRefT22_8x_0)</f>
        <v>6295</v>
      </c>
      <c r="U103" s="2"/>
      <c r="V103" s="6">
        <f t="shared" si="25"/>
        <v>2.7662502701982742E-4</v>
      </c>
      <c r="W103" s="2"/>
      <c r="X103" s="2">
        <f t="shared" si="26"/>
        <v>-1235.3900000000003</v>
      </c>
      <c r="Y103" s="2"/>
      <c r="Z103" s="6">
        <f t="shared" si="27"/>
        <v>-0.19624940428911841</v>
      </c>
    </row>
    <row r="104" spans="1:26" s="70" customFormat="1" ht="15" hidden="1" customHeight="1" outlineLevel="2" x14ac:dyDescent="0.25">
      <c r="A104" s="25"/>
      <c r="B104" s="12" t="str">
        <f>CONCATENATE("          ","6277"," - ","EMPLOYEE APPRECIATION")</f>
        <v xml:space="preserve">          6277 - EMPLOYEE APPRECIATION</v>
      </c>
      <c r="C104" s="12"/>
      <c r="D104" s="8">
        <v>37.700000000000003</v>
      </c>
      <c r="E104" s="3"/>
      <c r="F104" s="7">
        <f t="shared" si="20"/>
        <v>1.7099245992193002E-5</v>
      </c>
      <c r="G104" s="3"/>
      <c r="H104" s="8">
        <v>805</v>
      </c>
      <c r="I104" s="3"/>
      <c r="J104" s="7">
        <f t="shared" si="21"/>
        <v>4.7458466472509464E-4</v>
      </c>
      <c r="K104" s="3"/>
      <c r="L104" s="8">
        <f t="shared" si="22"/>
        <v>-767.3</v>
      </c>
      <c r="M104" s="3"/>
      <c r="N104" s="7">
        <f t="shared" si="23"/>
        <v>-0.95316770186335398</v>
      </c>
      <c r="O104" s="12"/>
      <c r="P104" s="8">
        <v>5059.6099999999997</v>
      </c>
      <c r="Q104" s="3"/>
      <c r="R104" s="7">
        <f t="shared" si="24"/>
        <v>2.1025156479363802E-4</v>
      </c>
      <c r="S104" s="3"/>
      <c r="T104" s="8">
        <v>6295</v>
      </c>
      <c r="U104" s="3"/>
      <c r="V104" s="7">
        <f t="shared" si="25"/>
        <v>2.7662502701982742E-4</v>
      </c>
      <c r="W104" s="3"/>
      <c r="X104" s="8">
        <f t="shared" si="26"/>
        <v>-1235.3900000000003</v>
      </c>
      <c r="Y104" s="3"/>
      <c r="Z104" s="7">
        <f t="shared" si="27"/>
        <v>-0.19624940428911841</v>
      </c>
    </row>
    <row r="105" spans="1:26" s="69" customFormat="1" ht="15" customHeight="1" outlineLevel="1" collapsed="1" x14ac:dyDescent="0.25">
      <c r="A105" s="26"/>
      <c r="B105" s="14" t="str">
        <f>CONCATENATE("     ","Equipment Rental                                  ")</f>
        <v xml:space="preserve">     Equipment Rental                                  </v>
      </c>
      <c r="C105" s="14"/>
      <c r="D105" s="2">
        <f>SUM(OSRRefD22_9x_0)</f>
        <v>3106.76</v>
      </c>
      <c r="E105" s="2"/>
      <c r="F105" s="6">
        <f t="shared" si="20"/>
        <v>1.4091048668091652E-3</v>
      </c>
      <c r="G105" s="2"/>
      <c r="H105" s="2">
        <f>SUM(OSRRefH22_9x_0)</f>
        <v>3446</v>
      </c>
      <c r="I105" s="2"/>
      <c r="J105" s="6">
        <f t="shared" si="21"/>
        <v>2.031576092723821E-3</v>
      </c>
      <c r="K105" s="2"/>
      <c r="L105" s="2">
        <f t="shared" si="22"/>
        <v>-339.23999999999978</v>
      </c>
      <c r="M105" s="2"/>
      <c r="N105" s="6">
        <f t="shared" si="23"/>
        <v>-9.8444573418456124E-2</v>
      </c>
      <c r="O105" s="14"/>
      <c r="P105" s="2">
        <f>SUM(OSRRefP22_9x_0)</f>
        <v>39733.67</v>
      </c>
      <c r="Q105" s="2"/>
      <c r="R105" s="6">
        <f t="shared" si="24"/>
        <v>1.6511285044685325E-3</v>
      </c>
      <c r="S105" s="2"/>
      <c r="T105" s="2">
        <f>SUM(OSRRefT22_9x_0)</f>
        <v>37706</v>
      </c>
      <c r="U105" s="2"/>
      <c r="V105" s="6">
        <f t="shared" si="25"/>
        <v>1.6569377710579209E-3</v>
      </c>
      <c r="W105" s="2"/>
      <c r="X105" s="2">
        <f t="shared" si="26"/>
        <v>2027.6699999999983</v>
      </c>
      <c r="Y105" s="2"/>
      <c r="Z105" s="6">
        <f t="shared" si="27"/>
        <v>5.3775791651196052E-2</v>
      </c>
    </row>
    <row r="106" spans="1:26" s="70" customFormat="1" ht="15" hidden="1" customHeight="1" outlineLevel="2" x14ac:dyDescent="0.25">
      <c r="A106" s="25"/>
      <c r="B106" s="12" t="str">
        <f>CONCATENATE("          ","6351"," - ","EQUIPMENT RENTAL")</f>
        <v xml:space="preserve">          6351 - EQUIPMENT RENTAL</v>
      </c>
      <c r="C106" s="12"/>
      <c r="D106" s="8">
        <v>3106.76</v>
      </c>
      <c r="E106" s="3"/>
      <c r="F106" s="7">
        <f t="shared" si="20"/>
        <v>1.4091048668091652E-3</v>
      </c>
      <c r="G106" s="3"/>
      <c r="H106" s="8">
        <v>3446</v>
      </c>
      <c r="I106" s="3"/>
      <c r="J106" s="7">
        <f t="shared" si="21"/>
        <v>2.031576092723821E-3</v>
      </c>
      <c r="K106" s="3"/>
      <c r="L106" s="8">
        <f t="shared" si="22"/>
        <v>-339.23999999999978</v>
      </c>
      <c r="M106" s="3"/>
      <c r="N106" s="7">
        <f t="shared" si="23"/>
        <v>-9.8444573418456124E-2</v>
      </c>
      <c r="O106" s="12"/>
      <c r="P106" s="8">
        <v>39733.67</v>
      </c>
      <c r="Q106" s="3"/>
      <c r="R106" s="7">
        <f t="shared" si="24"/>
        <v>1.6511285044685325E-3</v>
      </c>
      <c r="S106" s="3"/>
      <c r="T106" s="8">
        <v>37706</v>
      </c>
      <c r="U106" s="3"/>
      <c r="V106" s="7">
        <f t="shared" si="25"/>
        <v>1.6569377710579209E-3</v>
      </c>
      <c r="W106" s="3"/>
      <c r="X106" s="8">
        <f t="shared" si="26"/>
        <v>2027.6699999999983</v>
      </c>
      <c r="Y106" s="3"/>
      <c r="Z106" s="7">
        <f t="shared" si="27"/>
        <v>5.3775791651196052E-2</v>
      </c>
    </row>
    <row r="107" spans="1:26" s="69" customFormat="1" ht="15" customHeight="1" outlineLevel="1" collapsed="1" x14ac:dyDescent="0.25">
      <c r="A107" s="26"/>
      <c r="B107" s="14" t="str">
        <f>CONCATENATE("     ","Freight out/Postage                               ")</f>
        <v xml:space="preserve">     Freight out/Postage                               </v>
      </c>
      <c r="C107" s="14"/>
      <c r="D107" s="2">
        <f>SUM(OSRRefD22_10x_0)</f>
        <v>-1240.0600000000004</v>
      </c>
      <c r="E107" s="2"/>
      <c r="F107" s="6">
        <f t="shared" si="20"/>
        <v>-5.6244273169970454E-4</v>
      </c>
      <c r="G107" s="2"/>
      <c r="H107" s="2">
        <f>SUM(OSRRefH22_10x_0)</f>
        <v>-1825</v>
      </c>
      <c r="I107" s="2"/>
      <c r="J107" s="6">
        <f t="shared" si="21"/>
        <v>-1.0759217554326679E-3</v>
      </c>
      <c r="K107" s="2"/>
      <c r="L107" s="2">
        <f t="shared" si="22"/>
        <v>584.9399999999996</v>
      </c>
      <c r="M107" s="2"/>
      <c r="N107" s="6">
        <f t="shared" si="23"/>
        <v>-0.32051506849315048</v>
      </c>
      <c r="O107" s="14"/>
      <c r="P107" s="2">
        <f>SUM(OSRRefP22_10x_0)</f>
        <v>-45095.899999999994</v>
      </c>
      <c r="Q107" s="2"/>
      <c r="R107" s="6">
        <f t="shared" si="24"/>
        <v>-1.8739554117367585E-3</v>
      </c>
      <c r="S107" s="2"/>
      <c r="T107" s="2">
        <f>SUM(OSRRefT22_10x_0)</f>
        <v>-13775</v>
      </c>
      <c r="U107" s="2"/>
      <c r="V107" s="6">
        <f t="shared" si="25"/>
        <v>-6.0532323227928874E-4</v>
      </c>
      <c r="W107" s="2"/>
      <c r="X107" s="2">
        <f t="shared" si="26"/>
        <v>-31320.899999999994</v>
      </c>
      <c r="Y107" s="2"/>
      <c r="Z107" s="6">
        <f t="shared" si="27"/>
        <v>2.2737495462794914</v>
      </c>
    </row>
    <row r="108" spans="1:26" s="70" customFormat="1" ht="15" hidden="1" customHeight="1" outlineLevel="2" x14ac:dyDescent="0.25">
      <c r="A108" s="25"/>
      <c r="B108" s="12" t="str">
        <f>CONCATENATE("          ","6305"," - ","FREIGHT OUT")</f>
        <v xml:space="preserve">          6305 - FREIGHT OUT</v>
      </c>
      <c r="C108" s="12"/>
      <c r="D108" s="8">
        <v>8082.94</v>
      </c>
      <c r="E108" s="3"/>
      <c r="F108" s="7">
        <f t="shared" si="20"/>
        <v>3.666105554380278E-3</v>
      </c>
      <c r="G108" s="3"/>
      <c r="H108" s="8">
        <v>2565</v>
      </c>
      <c r="I108" s="3"/>
      <c r="J108" s="7">
        <f t="shared" si="21"/>
        <v>1.5121859192793387E-3</v>
      </c>
      <c r="K108" s="3"/>
      <c r="L108" s="8">
        <f t="shared" si="22"/>
        <v>5517.94</v>
      </c>
      <c r="M108" s="3"/>
      <c r="N108" s="7">
        <f t="shared" si="23"/>
        <v>2.1512436647173487</v>
      </c>
      <c r="O108" s="12"/>
      <c r="P108" s="8">
        <v>134542.87</v>
      </c>
      <c r="Q108" s="3"/>
      <c r="R108" s="7">
        <f t="shared" si="24"/>
        <v>5.5909149023990025E-3</v>
      </c>
      <c r="S108" s="3"/>
      <c r="T108" s="8">
        <v>155015</v>
      </c>
      <c r="U108" s="3"/>
      <c r="V108" s="7">
        <f t="shared" si="25"/>
        <v>6.8119187551197056E-3</v>
      </c>
      <c r="W108" s="3"/>
      <c r="X108" s="8">
        <f t="shared" si="26"/>
        <v>-20472.130000000005</v>
      </c>
      <c r="Y108" s="3"/>
      <c r="Z108" s="7">
        <f t="shared" si="27"/>
        <v>-0.13206547753443218</v>
      </c>
    </row>
    <row r="109" spans="1:26" s="70" customFormat="1" ht="15" hidden="1" customHeight="1" outlineLevel="2" x14ac:dyDescent="0.25">
      <c r="A109" s="25"/>
      <c r="B109" s="12" t="str">
        <f>CONCATENATE("          ","6307"," - ","POSTAGE")</f>
        <v xml:space="preserve">          6307 - POSTAGE</v>
      </c>
      <c r="C109" s="12"/>
      <c r="D109" s="8">
        <v>-9323</v>
      </c>
      <c r="E109" s="3"/>
      <c r="F109" s="7">
        <f t="shared" si="20"/>
        <v>-4.228548286079983E-3</v>
      </c>
      <c r="G109" s="3"/>
      <c r="H109" s="8">
        <v>-4390</v>
      </c>
      <c r="I109" s="3"/>
      <c r="J109" s="7">
        <f t="shared" si="21"/>
        <v>-2.5881076747120068E-3</v>
      </c>
      <c r="K109" s="3"/>
      <c r="L109" s="8">
        <f t="shared" si="22"/>
        <v>-4933</v>
      </c>
      <c r="M109" s="3"/>
      <c r="N109" s="7">
        <f t="shared" si="23"/>
        <v>1.1236902050113895</v>
      </c>
      <c r="O109" s="12"/>
      <c r="P109" s="8">
        <v>-179638.77</v>
      </c>
      <c r="Q109" s="3"/>
      <c r="R109" s="7">
        <f t="shared" si="24"/>
        <v>-7.4648703141357619E-3</v>
      </c>
      <c r="S109" s="3"/>
      <c r="T109" s="8">
        <v>-168790</v>
      </c>
      <c r="U109" s="3"/>
      <c r="V109" s="7">
        <f t="shared" si="25"/>
        <v>-7.4172419873989939E-3</v>
      </c>
      <c r="W109" s="3"/>
      <c r="X109" s="8">
        <f t="shared" si="26"/>
        <v>-10848.76999999999</v>
      </c>
      <c r="Y109" s="3"/>
      <c r="Z109" s="7">
        <f t="shared" si="27"/>
        <v>6.4273772142899394E-2</v>
      </c>
    </row>
    <row r="110" spans="1:26" s="69" customFormat="1" ht="15" customHeight="1" outlineLevel="1" collapsed="1" x14ac:dyDescent="0.25">
      <c r="A110" s="26"/>
      <c r="B110" s="14" t="str">
        <f>CONCATENATE("     ","General                                           ")</f>
        <v xml:space="preserve">     General                                           </v>
      </c>
      <c r="C110" s="14"/>
      <c r="D110" s="2">
        <f>SUM(OSRRefD22_11x_0)</f>
        <v>27659.88</v>
      </c>
      <c r="E110" s="2"/>
      <c r="F110" s="6">
        <f t="shared" si="20"/>
        <v>1.2545440112321999E-2</v>
      </c>
      <c r="G110" s="2"/>
      <c r="H110" s="2">
        <f>SUM(OSRRefH22_11x_0)</f>
        <v>1570</v>
      </c>
      <c r="I110" s="2"/>
      <c r="J110" s="6">
        <f t="shared" si="21"/>
        <v>9.2558748275577455E-4</v>
      </c>
      <c r="K110" s="2"/>
      <c r="L110" s="2">
        <f t="shared" si="22"/>
        <v>26089.88</v>
      </c>
      <c r="M110" s="2"/>
      <c r="N110" s="6">
        <f t="shared" si="23"/>
        <v>16.61775796178344</v>
      </c>
      <c r="O110" s="14"/>
      <c r="P110" s="2">
        <f>SUM(OSRRefP22_11x_0)</f>
        <v>77290.2</v>
      </c>
      <c r="Q110" s="2"/>
      <c r="R110" s="6">
        <f t="shared" si="24"/>
        <v>3.2117861837598636E-3</v>
      </c>
      <c r="S110" s="2"/>
      <c r="T110" s="2">
        <f>SUM(OSRRefT22_11x_0)</f>
        <v>25390</v>
      </c>
      <c r="U110" s="2"/>
      <c r="V110" s="6">
        <f t="shared" si="25"/>
        <v>1.1157282662483587E-3</v>
      </c>
      <c r="W110" s="2"/>
      <c r="X110" s="2">
        <f t="shared" si="26"/>
        <v>51900.2</v>
      </c>
      <c r="Y110" s="2"/>
      <c r="Z110" s="6">
        <f t="shared" si="27"/>
        <v>2.0441197321780229</v>
      </c>
    </row>
    <row r="111" spans="1:26" s="70" customFormat="1" ht="15" hidden="1" customHeight="1" outlineLevel="2" x14ac:dyDescent="0.25">
      <c r="A111" s="25"/>
      <c r="B111" s="12" t="str">
        <f>CONCATENATE("          ","6269"," - ","ENTERTAINMENT")</f>
        <v xml:space="preserve">          6269 - ENTERTAINMENT</v>
      </c>
      <c r="C111" s="12"/>
      <c r="D111" s="8"/>
      <c r="E111" s="3"/>
      <c r="F111" s="7">
        <f t="shared" si="20"/>
        <v>0</v>
      </c>
      <c r="G111" s="3"/>
      <c r="H111" s="8"/>
      <c r="I111" s="3"/>
      <c r="J111" s="7">
        <f t="shared" si="21"/>
        <v>0</v>
      </c>
      <c r="K111" s="3"/>
      <c r="L111" s="8">
        <f t="shared" si="22"/>
        <v>0</v>
      </c>
      <c r="M111" s="3"/>
      <c r="N111" s="7">
        <f t="shared" si="23"/>
        <v>0</v>
      </c>
      <c r="O111" s="12"/>
      <c r="P111" s="8"/>
      <c r="Q111" s="3"/>
      <c r="R111" s="7">
        <f t="shared" si="24"/>
        <v>0</v>
      </c>
      <c r="S111" s="3"/>
      <c r="T111" s="8">
        <v>500</v>
      </c>
      <c r="U111" s="3"/>
      <c r="V111" s="7">
        <f t="shared" si="25"/>
        <v>2.1971805164402494E-5</v>
      </c>
      <c r="W111" s="3"/>
      <c r="X111" s="8">
        <f t="shared" si="26"/>
        <v>-500</v>
      </c>
      <c r="Y111" s="3"/>
      <c r="Z111" s="7">
        <f t="shared" si="27"/>
        <v>-1</v>
      </c>
    </row>
    <row r="112" spans="1:26" s="70" customFormat="1" ht="15" hidden="1" customHeight="1" outlineLevel="2" x14ac:dyDescent="0.25">
      <c r="A112" s="25"/>
      <c r="B112" s="12" t="str">
        <f>CONCATENATE("          ","6276"," - ","PROPERTY TAX")</f>
        <v xml:space="preserve">          6276 - PROPERTY TAX</v>
      </c>
      <c r="C112" s="12"/>
      <c r="D112" s="8"/>
      <c r="E112" s="3"/>
      <c r="F112" s="7">
        <f t="shared" si="20"/>
        <v>0</v>
      </c>
      <c r="G112" s="3"/>
      <c r="H112" s="8"/>
      <c r="I112" s="3"/>
      <c r="J112" s="7">
        <f t="shared" si="21"/>
        <v>0</v>
      </c>
      <c r="K112" s="3"/>
      <c r="L112" s="8">
        <f t="shared" si="22"/>
        <v>0</v>
      </c>
      <c r="M112" s="3"/>
      <c r="N112" s="7">
        <f t="shared" si="23"/>
        <v>0</v>
      </c>
      <c r="O112" s="12"/>
      <c r="P112" s="8"/>
      <c r="Q112" s="3"/>
      <c r="R112" s="7">
        <f t="shared" si="24"/>
        <v>0</v>
      </c>
      <c r="S112" s="3"/>
      <c r="T112" s="8">
        <v>1250</v>
      </c>
      <c r="U112" s="3"/>
      <c r="V112" s="7">
        <f t="shared" si="25"/>
        <v>5.4929512911006238E-5</v>
      </c>
      <c r="W112" s="3"/>
      <c r="X112" s="8">
        <f t="shared" si="26"/>
        <v>-1250</v>
      </c>
      <c r="Y112" s="3"/>
      <c r="Z112" s="7">
        <f t="shared" si="27"/>
        <v>-1</v>
      </c>
    </row>
    <row r="113" spans="1:26" s="70" customFormat="1" ht="15" hidden="1" customHeight="1" outlineLevel="2" x14ac:dyDescent="0.25">
      <c r="A113" s="25"/>
      <c r="B113" s="12" t="str">
        <f>CONCATENATE("          ","6279"," - ","GENERAL EXPENSE")</f>
        <v xml:space="preserve">          6279 - GENERAL EXPENSE</v>
      </c>
      <c r="C113" s="12"/>
      <c r="D113" s="8">
        <v>27659.88</v>
      </c>
      <c r="E113" s="3"/>
      <c r="F113" s="7">
        <f t="shared" si="20"/>
        <v>1.2545440112321999E-2</v>
      </c>
      <c r="G113" s="3"/>
      <c r="H113" s="8">
        <v>1570</v>
      </c>
      <c r="I113" s="3"/>
      <c r="J113" s="7">
        <f t="shared" si="21"/>
        <v>9.2558748275577455E-4</v>
      </c>
      <c r="K113" s="3"/>
      <c r="L113" s="8">
        <f t="shared" si="22"/>
        <v>26089.88</v>
      </c>
      <c r="M113" s="3"/>
      <c r="N113" s="7">
        <f t="shared" si="23"/>
        <v>16.61775796178344</v>
      </c>
      <c r="O113" s="12"/>
      <c r="P113" s="8">
        <v>77290.2</v>
      </c>
      <c r="Q113" s="3"/>
      <c r="R113" s="7">
        <f t="shared" si="24"/>
        <v>3.2117861837598636E-3</v>
      </c>
      <c r="S113" s="3"/>
      <c r="T113" s="8">
        <v>23640</v>
      </c>
      <c r="U113" s="3"/>
      <c r="V113" s="7">
        <f t="shared" si="25"/>
        <v>1.0388269481729499E-3</v>
      </c>
      <c r="W113" s="3"/>
      <c r="X113" s="8">
        <f t="shared" si="26"/>
        <v>53650.2</v>
      </c>
      <c r="Y113" s="3"/>
      <c r="Z113" s="7">
        <f t="shared" si="27"/>
        <v>2.2694670050761419</v>
      </c>
    </row>
    <row r="114" spans="1:26" s="69" customFormat="1" ht="15" customHeight="1" outlineLevel="1" collapsed="1" x14ac:dyDescent="0.25">
      <c r="A114" s="26"/>
      <c r="B114" s="14" t="str">
        <f>CONCATENATE("     ","Insurance                                         ")</f>
        <v xml:space="preserve">     Insurance                                         </v>
      </c>
      <c r="C114" s="14"/>
      <c r="D114" s="2">
        <f>SUM(OSRRefD22_12x_0)</f>
        <v>11626.43</v>
      </c>
      <c r="E114" s="2"/>
      <c r="F114" s="6">
        <f t="shared" si="20"/>
        <v>5.2732940737669088E-3</v>
      </c>
      <c r="G114" s="2"/>
      <c r="H114" s="2">
        <f>SUM(OSRRefH22_12x_0)</f>
        <v>11425</v>
      </c>
      <c r="I114" s="2"/>
      <c r="J114" s="6">
        <f t="shared" si="21"/>
        <v>6.7355649620921814E-3</v>
      </c>
      <c r="K114" s="2"/>
      <c r="L114" s="2">
        <f t="shared" si="22"/>
        <v>201.43000000000029</v>
      </c>
      <c r="M114" s="2"/>
      <c r="N114" s="6">
        <f t="shared" si="23"/>
        <v>1.7630634573304185E-2</v>
      </c>
      <c r="O114" s="14"/>
      <c r="P114" s="2">
        <f>SUM(OSRRefP22_12x_0)</f>
        <v>134773.74</v>
      </c>
      <c r="Q114" s="2"/>
      <c r="R114" s="6">
        <f t="shared" si="24"/>
        <v>5.6005086811218505E-3</v>
      </c>
      <c r="S114" s="2"/>
      <c r="T114" s="2">
        <f>SUM(OSRRefT22_12x_0)</f>
        <v>125675</v>
      </c>
      <c r="U114" s="2"/>
      <c r="V114" s="6">
        <f t="shared" si="25"/>
        <v>5.5226132280725669E-3</v>
      </c>
      <c r="W114" s="2"/>
      <c r="X114" s="2">
        <f t="shared" si="26"/>
        <v>9098.7399999999907</v>
      </c>
      <c r="Y114" s="2"/>
      <c r="Z114" s="6">
        <f t="shared" si="27"/>
        <v>7.2398965585836403E-2</v>
      </c>
    </row>
    <row r="115" spans="1:26" s="70" customFormat="1" ht="15" hidden="1" customHeight="1" outlineLevel="2" x14ac:dyDescent="0.25">
      <c r="A115" s="25"/>
      <c r="B115" s="12" t="str">
        <f>CONCATENATE("          ","6314"," - ","LIABILITY INSURANCE")</f>
        <v xml:space="preserve">          6314 - LIABILITY INSURANCE</v>
      </c>
      <c r="C115" s="12"/>
      <c r="D115" s="8">
        <v>11626.43</v>
      </c>
      <c r="E115" s="3"/>
      <c r="F115" s="7">
        <f t="shared" si="20"/>
        <v>5.2732940737669088E-3</v>
      </c>
      <c r="G115" s="3"/>
      <c r="H115" s="8">
        <v>11425</v>
      </c>
      <c r="I115" s="3"/>
      <c r="J115" s="7">
        <f t="shared" si="21"/>
        <v>6.7355649620921814E-3</v>
      </c>
      <c r="K115" s="3"/>
      <c r="L115" s="8">
        <f t="shared" si="22"/>
        <v>201.43000000000029</v>
      </c>
      <c r="M115" s="3"/>
      <c r="N115" s="7">
        <f t="shared" si="23"/>
        <v>1.7630634573304185E-2</v>
      </c>
      <c r="O115" s="12"/>
      <c r="P115" s="8">
        <v>134773.74</v>
      </c>
      <c r="Q115" s="3"/>
      <c r="R115" s="7">
        <f t="shared" si="24"/>
        <v>5.6005086811218505E-3</v>
      </c>
      <c r="S115" s="3"/>
      <c r="T115" s="8">
        <v>125675</v>
      </c>
      <c r="U115" s="3"/>
      <c r="V115" s="7">
        <f t="shared" si="25"/>
        <v>5.5226132280725669E-3</v>
      </c>
      <c r="W115" s="3"/>
      <c r="X115" s="8">
        <f t="shared" si="26"/>
        <v>9098.7399999999907</v>
      </c>
      <c r="Y115" s="3"/>
      <c r="Z115" s="7">
        <f t="shared" si="27"/>
        <v>7.2398965585836403E-2</v>
      </c>
    </row>
    <row r="116" spans="1:26" s="69" customFormat="1" ht="15" customHeight="1" outlineLevel="1" collapsed="1" x14ac:dyDescent="0.25">
      <c r="A116" s="26"/>
      <c r="B116" s="14" t="str">
        <f>CONCATENATE("     ","Interest                                          ")</f>
        <v xml:space="preserve">     Interest                                          </v>
      </c>
      <c r="C116" s="14"/>
      <c r="D116" s="2">
        <f>SUM(OSRRefD22_13x_0)</f>
        <v>11158</v>
      </c>
      <c r="E116" s="2"/>
      <c r="F116" s="6">
        <f t="shared" si="20"/>
        <v>5.0608325406071488E-3</v>
      </c>
      <c r="G116" s="2"/>
      <c r="H116" s="2">
        <f>SUM(OSRRefH22_13x_0)</f>
        <v>10742</v>
      </c>
      <c r="I116" s="2"/>
      <c r="J116" s="6">
        <f t="shared" si="21"/>
        <v>6.3329049297850513E-3</v>
      </c>
      <c r="K116" s="2"/>
      <c r="L116" s="2">
        <f t="shared" si="22"/>
        <v>416</v>
      </c>
      <c r="M116" s="2"/>
      <c r="N116" s="6">
        <f t="shared" si="23"/>
        <v>3.8726494135170361E-2</v>
      </c>
      <c r="O116" s="14"/>
      <c r="P116" s="2">
        <f>SUM(OSRRefP22_13x_0)</f>
        <v>119450</v>
      </c>
      <c r="Q116" s="2"/>
      <c r="R116" s="6">
        <f t="shared" si="24"/>
        <v>4.9637322668348079E-3</v>
      </c>
      <c r="S116" s="2"/>
      <c r="T116" s="2">
        <f>SUM(OSRRefT22_13x_0)</f>
        <v>122322</v>
      </c>
      <c r="U116" s="2"/>
      <c r="V116" s="6">
        <f t="shared" si="25"/>
        <v>5.3752703026400837E-3</v>
      </c>
      <c r="W116" s="2"/>
      <c r="X116" s="2">
        <f t="shared" si="26"/>
        <v>-2872</v>
      </c>
      <c r="Y116" s="2"/>
      <c r="Z116" s="6">
        <f t="shared" si="27"/>
        <v>-2.3479014404604242E-2</v>
      </c>
    </row>
    <row r="117" spans="1:26" s="70" customFormat="1" ht="15" hidden="1" customHeight="1" outlineLevel="2" x14ac:dyDescent="0.25">
      <c r="A117" s="25"/>
      <c r="B117" s="12" t="str">
        <f>CONCATENATE("          ","6401"," - ","INTEREST EXPENSE")</f>
        <v xml:space="preserve">          6401 - INTEREST EXPENSE</v>
      </c>
      <c r="C117" s="12"/>
      <c r="D117" s="8">
        <v>11158</v>
      </c>
      <c r="E117" s="3"/>
      <c r="F117" s="7">
        <f t="shared" si="20"/>
        <v>5.0608325406071488E-3</v>
      </c>
      <c r="G117" s="3"/>
      <c r="H117" s="8">
        <v>10742</v>
      </c>
      <c r="I117" s="3"/>
      <c r="J117" s="7">
        <f t="shared" si="21"/>
        <v>6.3329049297850513E-3</v>
      </c>
      <c r="K117" s="3"/>
      <c r="L117" s="8">
        <f t="shared" si="22"/>
        <v>416</v>
      </c>
      <c r="M117" s="3"/>
      <c r="N117" s="7">
        <f t="shared" si="23"/>
        <v>3.8726494135170361E-2</v>
      </c>
      <c r="O117" s="12"/>
      <c r="P117" s="8">
        <v>119450</v>
      </c>
      <c r="Q117" s="3"/>
      <c r="R117" s="7">
        <f t="shared" si="24"/>
        <v>4.9637322668348079E-3</v>
      </c>
      <c r="S117" s="3"/>
      <c r="T117" s="8">
        <v>122322</v>
      </c>
      <c r="U117" s="3"/>
      <c r="V117" s="7">
        <f t="shared" si="25"/>
        <v>5.3752703026400837E-3</v>
      </c>
      <c r="W117" s="3"/>
      <c r="X117" s="8">
        <f t="shared" si="26"/>
        <v>-2872</v>
      </c>
      <c r="Y117" s="3"/>
      <c r="Z117" s="7">
        <f t="shared" si="27"/>
        <v>-2.3479014404604242E-2</v>
      </c>
    </row>
    <row r="118" spans="1:26" s="69" customFormat="1" ht="15" customHeight="1" outlineLevel="1" collapsed="1" x14ac:dyDescent="0.25">
      <c r="A118" s="26"/>
      <c r="B118" s="14" t="str">
        <f>CONCATENATE("     ","Inventory Adjustment                              ")</f>
        <v xml:space="preserve">     Inventory Adjustment                              </v>
      </c>
      <c r="C118" s="14"/>
      <c r="D118" s="2">
        <f>SUM(OSRRefD22_14x_0)</f>
        <v>7200</v>
      </c>
      <c r="E118" s="2"/>
      <c r="F118" s="6">
        <f t="shared" si="20"/>
        <v>3.2656384918777082E-3</v>
      </c>
      <c r="G118" s="2"/>
      <c r="H118" s="2">
        <f>SUM(OSRRefH22_14x_0)</f>
        <v>7200</v>
      </c>
      <c r="I118" s="2"/>
      <c r="J118" s="6">
        <f t="shared" si="21"/>
        <v>4.2447324049946352E-3</v>
      </c>
      <c r="K118" s="2"/>
      <c r="L118" s="2">
        <f t="shared" si="22"/>
        <v>0</v>
      </c>
      <c r="M118" s="2"/>
      <c r="N118" s="6">
        <f t="shared" si="23"/>
        <v>0</v>
      </c>
      <c r="O118" s="14"/>
      <c r="P118" s="2">
        <f>SUM(OSRRefP22_14x_0)</f>
        <v>70840</v>
      </c>
      <c r="Q118" s="2"/>
      <c r="R118" s="6">
        <f t="shared" si="24"/>
        <v>2.9437487968403332E-3</v>
      </c>
      <c r="S118" s="2"/>
      <c r="T118" s="2">
        <f>SUM(OSRRefT22_14x_0)</f>
        <v>71550</v>
      </c>
      <c r="U118" s="2"/>
      <c r="V118" s="6">
        <f t="shared" si="25"/>
        <v>3.144165319025997E-3</v>
      </c>
      <c r="W118" s="2"/>
      <c r="X118" s="2">
        <f t="shared" si="26"/>
        <v>-710</v>
      </c>
      <c r="Y118" s="2"/>
      <c r="Z118" s="6">
        <f t="shared" si="27"/>
        <v>-9.9231306778476587E-3</v>
      </c>
    </row>
    <row r="119" spans="1:26" s="70" customFormat="1" ht="15" hidden="1" customHeight="1" outlineLevel="2" x14ac:dyDescent="0.25">
      <c r="A119" s="25"/>
      <c r="B119" s="12" t="str">
        <f>CONCATENATE("          ","6408"," - ","INVENTORY ADJUSTMENT")</f>
        <v xml:space="preserve">          6408 - INVENTORY ADJUSTMENT</v>
      </c>
      <c r="C119" s="12"/>
      <c r="D119" s="8">
        <v>7200</v>
      </c>
      <c r="E119" s="3"/>
      <c r="F119" s="7">
        <f t="shared" si="20"/>
        <v>3.2656384918777082E-3</v>
      </c>
      <c r="G119" s="3"/>
      <c r="H119" s="8">
        <v>7200</v>
      </c>
      <c r="I119" s="3"/>
      <c r="J119" s="7">
        <f t="shared" si="21"/>
        <v>4.2447324049946352E-3</v>
      </c>
      <c r="K119" s="3"/>
      <c r="L119" s="8">
        <f t="shared" si="22"/>
        <v>0</v>
      </c>
      <c r="M119" s="3"/>
      <c r="N119" s="7">
        <f t="shared" si="23"/>
        <v>0</v>
      </c>
      <c r="O119" s="12"/>
      <c r="P119" s="8">
        <v>70840</v>
      </c>
      <c r="Q119" s="3"/>
      <c r="R119" s="7">
        <f t="shared" si="24"/>
        <v>2.9437487968403332E-3</v>
      </c>
      <c r="S119" s="3"/>
      <c r="T119" s="8">
        <v>71550</v>
      </c>
      <c r="U119" s="3"/>
      <c r="V119" s="7">
        <f t="shared" si="25"/>
        <v>3.144165319025997E-3</v>
      </c>
      <c r="W119" s="3"/>
      <c r="X119" s="8">
        <f t="shared" si="26"/>
        <v>-710</v>
      </c>
      <c r="Y119" s="3"/>
      <c r="Z119" s="7">
        <f t="shared" si="27"/>
        <v>-9.9231306778476587E-3</v>
      </c>
    </row>
    <row r="120" spans="1:26" s="69" customFormat="1" ht="15" customHeight="1" outlineLevel="1" collapsed="1" x14ac:dyDescent="0.25">
      <c r="A120" s="26"/>
      <c r="B120" s="14" t="str">
        <f>CONCATENATE("     ","Professional Services                             ")</f>
        <v xml:space="preserve">     Professional Services                             </v>
      </c>
      <c r="C120" s="14"/>
      <c r="D120" s="2">
        <f>SUM(OSRRefD22_15x_0)</f>
        <v>511.58</v>
      </c>
      <c r="E120" s="2"/>
      <c r="F120" s="6">
        <f t="shared" si="20"/>
        <v>2.3203268606594417E-4</v>
      </c>
      <c r="G120" s="2"/>
      <c r="H120" s="2">
        <f>SUM(OSRRefH22_15x_0)</f>
        <v>0</v>
      </c>
      <c r="I120" s="2"/>
      <c r="J120" s="6">
        <f t="shared" si="21"/>
        <v>0</v>
      </c>
      <c r="K120" s="2"/>
      <c r="L120" s="2">
        <f t="shared" si="22"/>
        <v>511.58</v>
      </c>
      <c r="M120" s="2"/>
      <c r="N120" s="6">
        <f t="shared" si="23"/>
        <v>0</v>
      </c>
      <c r="O120" s="14"/>
      <c r="P120" s="2">
        <f>SUM(OSRRefP22_15x_0)</f>
        <v>10138.11</v>
      </c>
      <c r="Q120" s="2"/>
      <c r="R120" s="6">
        <f t="shared" si="24"/>
        <v>4.212881015631699E-4</v>
      </c>
      <c r="S120" s="2"/>
      <c r="T120" s="2">
        <f>SUM(OSRRefT22_15x_0)</f>
        <v>1750</v>
      </c>
      <c r="U120" s="2"/>
      <c r="V120" s="6">
        <f t="shared" si="25"/>
        <v>7.6901318075408732E-5</v>
      </c>
      <c r="W120" s="2"/>
      <c r="X120" s="2">
        <f t="shared" si="26"/>
        <v>8388.11</v>
      </c>
      <c r="Y120" s="2"/>
      <c r="Z120" s="6">
        <f t="shared" si="27"/>
        <v>4.7932057142857145</v>
      </c>
    </row>
    <row r="121" spans="1:26" s="70" customFormat="1" ht="15" hidden="1" customHeight="1" outlineLevel="2" x14ac:dyDescent="0.25">
      <c r="A121" s="25"/>
      <c r="B121" s="12" t="str">
        <f>CONCATENATE("          ","6336"," - ","PROFESSIONAL SERVICES")</f>
        <v xml:space="preserve">          6336 - PROFESSIONAL SERVICES</v>
      </c>
      <c r="C121" s="12"/>
      <c r="D121" s="8">
        <v>511.58</v>
      </c>
      <c r="E121" s="3"/>
      <c r="F121" s="7">
        <f t="shared" si="20"/>
        <v>2.3203268606594417E-4</v>
      </c>
      <c r="G121" s="3"/>
      <c r="H121" s="8">
        <v>0</v>
      </c>
      <c r="I121" s="3"/>
      <c r="J121" s="7">
        <f t="shared" si="21"/>
        <v>0</v>
      </c>
      <c r="K121" s="3"/>
      <c r="L121" s="8">
        <f t="shared" si="22"/>
        <v>511.58</v>
      </c>
      <c r="M121" s="3"/>
      <c r="N121" s="7">
        <f t="shared" si="23"/>
        <v>0</v>
      </c>
      <c r="O121" s="12"/>
      <c r="P121" s="8">
        <v>10138.11</v>
      </c>
      <c r="Q121" s="3"/>
      <c r="R121" s="7">
        <f t="shared" si="24"/>
        <v>4.212881015631699E-4</v>
      </c>
      <c r="S121" s="3"/>
      <c r="T121" s="8">
        <v>1750</v>
      </c>
      <c r="U121" s="3"/>
      <c r="V121" s="7">
        <f t="shared" si="25"/>
        <v>7.6901318075408732E-5</v>
      </c>
      <c r="W121" s="3"/>
      <c r="X121" s="8">
        <f t="shared" si="26"/>
        <v>8388.11</v>
      </c>
      <c r="Y121" s="3"/>
      <c r="Z121" s="7">
        <f t="shared" si="27"/>
        <v>4.7932057142857145</v>
      </c>
    </row>
    <row r="122" spans="1:26" s="69" customFormat="1" ht="15" customHeight="1" outlineLevel="1" collapsed="1" x14ac:dyDescent="0.25">
      <c r="A122" s="26"/>
      <c r="B122" s="14" t="str">
        <f>CONCATENATE("     ","R/H Commissions                                   ")</f>
        <v xml:space="preserve">     R/H Commissions                                   </v>
      </c>
      <c r="C122" s="14"/>
      <c r="D122" s="2">
        <f>SUM(OSRRefD22_16x_0)</f>
        <v>56038.67</v>
      </c>
      <c r="E122" s="2"/>
      <c r="F122" s="6">
        <f t="shared" si="20"/>
        <v>2.5416949692448967E-2</v>
      </c>
      <c r="G122" s="2"/>
      <c r="H122" s="2">
        <f>SUM(OSRRefH22_16x_0)</f>
        <v>44064</v>
      </c>
      <c r="I122" s="2"/>
      <c r="J122" s="6">
        <f t="shared" si="21"/>
        <v>2.5977762318567167E-2</v>
      </c>
      <c r="K122" s="2"/>
      <c r="L122" s="2">
        <f t="shared" si="22"/>
        <v>11974.669999999998</v>
      </c>
      <c r="M122" s="2"/>
      <c r="N122" s="6">
        <f t="shared" si="23"/>
        <v>0.27175630900508346</v>
      </c>
      <c r="O122" s="14"/>
      <c r="P122" s="2">
        <f>SUM(OSRRefP22_16x_0)</f>
        <v>912239.08</v>
      </c>
      <c r="Q122" s="2"/>
      <c r="R122" s="6">
        <f t="shared" si="24"/>
        <v>3.7907999635526997E-2</v>
      </c>
      <c r="S122" s="2"/>
      <c r="T122" s="2">
        <f>SUM(OSRRefT22_16x_0)</f>
        <v>703152</v>
      </c>
      <c r="U122" s="2"/>
      <c r="V122" s="6">
        <f t="shared" si="25"/>
        <v>3.0899037489919887E-2</v>
      </c>
      <c r="W122" s="2"/>
      <c r="X122" s="2">
        <f t="shared" si="26"/>
        <v>209087.07999999996</v>
      </c>
      <c r="Y122" s="2"/>
      <c r="Z122" s="6">
        <f t="shared" si="27"/>
        <v>0.29735687305163033</v>
      </c>
    </row>
    <row r="123" spans="1:26" s="70" customFormat="1" ht="15" hidden="1" customHeight="1" outlineLevel="2" x14ac:dyDescent="0.25">
      <c r="A123" s="25"/>
      <c r="B123" s="12" t="str">
        <f>CONCATENATE("          ","6387"," - ","COMMISSION DUE HOUSING")</f>
        <v xml:space="preserve">          6387 - COMMISSION DUE HOUSING</v>
      </c>
      <c r="C123" s="12"/>
      <c r="D123" s="8">
        <v>56038.67</v>
      </c>
      <c r="E123" s="3"/>
      <c r="F123" s="7">
        <f t="shared" si="20"/>
        <v>2.5416949692448967E-2</v>
      </c>
      <c r="G123" s="3"/>
      <c r="H123" s="8">
        <v>44064</v>
      </c>
      <c r="I123" s="3"/>
      <c r="J123" s="7">
        <f t="shared" si="21"/>
        <v>2.5977762318567167E-2</v>
      </c>
      <c r="K123" s="3"/>
      <c r="L123" s="8">
        <f t="shared" si="22"/>
        <v>11974.669999999998</v>
      </c>
      <c r="M123" s="3"/>
      <c r="N123" s="7">
        <f t="shared" si="23"/>
        <v>0.27175630900508346</v>
      </c>
      <c r="O123" s="12"/>
      <c r="P123" s="8">
        <v>912239.08</v>
      </c>
      <c r="Q123" s="3"/>
      <c r="R123" s="7">
        <f t="shared" si="24"/>
        <v>3.7907999635526997E-2</v>
      </c>
      <c r="S123" s="3"/>
      <c r="T123" s="8">
        <v>703152</v>
      </c>
      <c r="U123" s="3"/>
      <c r="V123" s="7">
        <f t="shared" si="25"/>
        <v>3.0899037489919887E-2</v>
      </c>
      <c r="W123" s="3"/>
      <c r="X123" s="8">
        <f t="shared" si="26"/>
        <v>209087.07999999996</v>
      </c>
      <c r="Y123" s="3"/>
      <c r="Z123" s="7">
        <f t="shared" si="27"/>
        <v>0.29735687305163033</v>
      </c>
    </row>
    <row r="124" spans="1:26" s="69" customFormat="1" ht="15" customHeight="1" outlineLevel="1" collapsed="1" x14ac:dyDescent="0.25">
      <c r="A124" s="26"/>
      <c r="B124" s="14" t="str">
        <f>CONCATENATE("     ","Rent                                              ")</f>
        <v xml:space="preserve">     Rent                                              </v>
      </c>
      <c r="C124" s="14"/>
      <c r="D124" s="2">
        <f>SUM(OSRRefD22_17x_0)</f>
        <v>8750</v>
      </c>
      <c r="E124" s="2"/>
      <c r="F124" s="6">
        <f t="shared" si="20"/>
        <v>3.9686578894347147E-3</v>
      </c>
      <c r="G124" s="2"/>
      <c r="H124" s="2">
        <f>SUM(OSRRefH22_17x_0)</f>
        <v>8750</v>
      </c>
      <c r="I124" s="2"/>
      <c r="J124" s="6">
        <f t="shared" si="21"/>
        <v>5.1585289644032022E-3</v>
      </c>
      <c r="K124" s="2"/>
      <c r="L124" s="2">
        <f t="shared" si="22"/>
        <v>0</v>
      </c>
      <c r="M124" s="2"/>
      <c r="N124" s="6">
        <f t="shared" si="23"/>
        <v>0</v>
      </c>
      <c r="O124" s="14"/>
      <c r="P124" s="2">
        <f>SUM(OSRRefP22_17x_0)</f>
        <v>96250</v>
      </c>
      <c r="Q124" s="2"/>
      <c r="R124" s="6">
        <f t="shared" si="24"/>
        <v>3.9996586913591484E-3</v>
      </c>
      <c r="S124" s="2"/>
      <c r="T124" s="2">
        <f>SUM(OSRRefT22_17x_0)</f>
        <v>96250</v>
      </c>
      <c r="U124" s="2"/>
      <c r="V124" s="6">
        <f t="shared" si="25"/>
        <v>4.2295724941474799E-3</v>
      </c>
      <c r="W124" s="2"/>
      <c r="X124" s="2">
        <f t="shared" si="26"/>
        <v>0</v>
      </c>
      <c r="Y124" s="2"/>
      <c r="Z124" s="6">
        <f t="shared" si="27"/>
        <v>0</v>
      </c>
    </row>
    <row r="125" spans="1:26" s="70" customFormat="1" ht="15" hidden="1" customHeight="1" outlineLevel="2" x14ac:dyDescent="0.25">
      <c r="A125" s="25"/>
      <c r="B125" s="12" t="str">
        <f>CONCATENATE("          ","6273"," - ","RENT")</f>
        <v xml:space="preserve">          6273 - RENT</v>
      </c>
      <c r="C125" s="12"/>
      <c r="D125" s="8">
        <v>8750</v>
      </c>
      <c r="E125" s="3"/>
      <c r="F125" s="7">
        <f t="shared" si="20"/>
        <v>3.9686578894347147E-3</v>
      </c>
      <c r="G125" s="3"/>
      <c r="H125" s="8">
        <v>8750</v>
      </c>
      <c r="I125" s="3"/>
      <c r="J125" s="7">
        <f t="shared" si="21"/>
        <v>5.1585289644032022E-3</v>
      </c>
      <c r="K125" s="3"/>
      <c r="L125" s="8">
        <f t="shared" si="22"/>
        <v>0</v>
      </c>
      <c r="M125" s="3"/>
      <c r="N125" s="7">
        <f t="shared" si="23"/>
        <v>0</v>
      </c>
      <c r="O125" s="12"/>
      <c r="P125" s="8">
        <v>96250</v>
      </c>
      <c r="Q125" s="3"/>
      <c r="R125" s="7">
        <f t="shared" si="24"/>
        <v>3.9996586913591484E-3</v>
      </c>
      <c r="S125" s="3"/>
      <c r="T125" s="8">
        <v>96250</v>
      </c>
      <c r="U125" s="3"/>
      <c r="V125" s="7">
        <f t="shared" si="25"/>
        <v>4.2295724941474799E-3</v>
      </c>
      <c r="W125" s="3"/>
      <c r="X125" s="8">
        <f t="shared" si="26"/>
        <v>0</v>
      </c>
      <c r="Y125" s="3"/>
      <c r="Z125" s="7">
        <f t="shared" si="27"/>
        <v>0</v>
      </c>
    </row>
    <row r="126" spans="1:26" s="69" customFormat="1" ht="15" customHeight="1" outlineLevel="1" collapsed="1" x14ac:dyDescent="0.25">
      <c r="A126" s="26"/>
      <c r="B126" s="14" t="str">
        <f>CONCATENATE("     ","Repair and Maintenance                            ")</f>
        <v xml:space="preserve">     Repair and Maintenance                            </v>
      </c>
      <c r="C126" s="14"/>
      <c r="D126" s="2">
        <f>SUM(OSRRefD22_18x_0)</f>
        <v>18177.120000000003</v>
      </c>
      <c r="E126" s="2"/>
      <c r="F126" s="6">
        <f t="shared" si="20"/>
        <v>8.244430936594464E-3</v>
      </c>
      <c r="G126" s="2"/>
      <c r="H126" s="2">
        <f>SUM(OSRRefH22_18x_0)</f>
        <v>22589</v>
      </c>
      <c r="I126" s="2"/>
      <c r="J126" s="6">
        <f t="shared" si="21"/>
        <v>1.3317258374503307E-2</v>
      </c>
      <c r="K126" s="2"/>
      <c r="L126" s="2">
        <f t="shared" si="22"/>
        <v>-4411.8799999999974</v>
      </c>
      <c r="M126" s="2"/>
      <c r="N126" s="6">
        <f t="shared" si="23"/>
        <v>-0.19531099207578898</v>
      </c>
      <c r="O126" s="14"/>
      <c r="P126" s="2">
        <f>SUM(OSRRefP22_18x_0)</f>
        <v>425183.3</v>
      </c>
      <c r="Q126" s="2"/>
      <c r="R126" s="6">
        <f t="shared" si="24"/>
        <v>1.7668447597566382E-2</v>
      </c>
      <c r="S126" s="2"/>
      <c r="T126" s="2">
        <f>SUM(OSRRefT22_18x_0)</f>
        <v>450424</v>
      </c>
      <c r="U126" s="2"/>
      <c r="V126" s="6">
        <f t="shared" si="25"/>
        <v>1.9793256738741657E-2</v>
      </c>
      <c r="W126" s="2"/>
      <c r="X126" s="2">
        <f t="shared" si="26"/>
        <v>-25240.700000000012</v>
      </c>
      <c r="Y126" s="2"/>
      <c r="Z126" s="6">
        <f t="shared" si="27"/>
        <v>-5.6037644530486853E-2</v>
      </c>
    </row>
    <row r="127" spans="1:26" s="70" customFormat="1" ht="15" hidden="1" customHeight="1" outlineLevel="2" x14ac:dyDescent="0.25">
      <c r="A127" s="25"/>
      <c r="B127" s="12" t="str">
        <f>CONCATENATE("          ","6371"," - ","COMPUTER SOFTWARE MAINTENANCE")</f>
        <v xml:space="preserve">          6371 - COMPUTER SOFTWARE MAINTENANCE</v>
      </c>
      <c r="C127" s="12"/>
      <c r="D127" s="8">
        <v>3500</v>
      </c>
      <c r="E127" s="3"/>
      <c r="F127" s="7">
        <f t="shared" si="20"/>
        <v>1.5874631557738861E-3</v>
      </c>
      <c r="G127" s="3"/>
      <c r="H127" s="8">
        <v>4500</v>
      </c>
      <c r="I127" s="3"/>
      <c r="J127" s="7">
        <f t="shared" si="21"/>
        <v>2.6529577531216471E-3</v>
      </c>
      <c r="K127" s="3"/>
      <c r="L127" s="8">
        <f t="shared" si="22"/>
        <v>-1000</v>
      </c>
      <c r="M127" s="3"/>
      <c r="N127" s="7">
        <f t="shared" si="23"/>
        <v>-0.22222222222222221</v>
      </c>
      <c r="O127" s="12"/>
      <c r="P127" s="8">
        <v>126711.76</v>
      </c>
      <c r="Q127" s="3"/>
      <c r="R127" s="7">
        <f t="shared" si="24"/>
        <v>5.2654939447419691E-3</v>
      </c>
      <c r="S127" s="3"/>
      <c r="T127" s="8">
        <v>216223</v>
      </c>
      <c r="U127" s="3"/>
      <c r="V127" s="7">
        <f t="shared" si="25"/>
        <v>9.5016192561252003E-3</v>
      </c>
      <c r="W127" s="3"/>
      <c r="X127" s="8">
        <f t="shared" si="26"/>
        <v>-89511.24</v>
      </c>
      <c r="Y127" s="3"/>
      <c r="Z127" s="7">
        <f t="shared" si="27"/>
        <v>-0.41397649648742274</v>
      </c>
    </row>
    <row r="128" spans="1:26" s="70" customFormat="1" ht="15" hidden="1" customHeight="1" outlineLevel="2" x14ac:dyDescent="0.25">
      <c r="A128" s="25"/>
      <c r="B128" s="12" t="str">
        <f>CONCATENATE("          ","6372"," - ","COMPUTER HARDWARE MAINTENANCE")</f>
        <v xml:space="preserve">          6372 - COMPUTER HARDWARE MAINTENANCE</v>
      </c>
      <c r="C128" s="12"/>
      <c r="D128" s="8"/>
      <c r="E128" s="3"/>
      <c r="F128" s="7">
        <f t="shared" si="20"/>
        <v>0</v>
      </c>
      <c r="G128" s="3"/>
      <c r="H128" s="8">
        <v>6950</v>
      </c>
      <c r="I128" s="3"/>
      <c r="J128" s="7">
        <f t="shared" si="21"/>
        <v>4.097345863154544E-3</v>
      </c>
      <c r="K128" s="3"/>
      <c r="L128" s="8">
        <f t="shared" si="22"/>
        <v>-6950</v>
      </c>
      <c r="M128" s="3"/>
      <c r="N128" s="7">
        <f t="shared" si="23"/>
        <v>-1</v>
      </c>
      <c r="O128" s="12"/>
      <c r="P128" s="8">
        <v>1555.65</v>
      </c>
      <c r="Q128" s="3"/>
      <c r="R128" s="7">
        <f t="shared" si="24"/>
        <v>6.4644873176237505E-5</v>
      </c>
      <c r="S128" s="3"/>
      <c r="T128" s="8">
        <v>81070</v>
      </c>
      <c r="U128" s="3"/>
      <c r="V128" s="7">
        <f t="shared" si="25"/>
        <v>3.5625084893562203E-3</v>
      </c>
      <c r="W128" s="3"/>
      <c r="X128" s="8">
        <f t="shared" si="26"/>
        <v>-79514.350000000006</v>
      </c>
      <c r="Y128" s="3"/>
      <c r="Z128" s="7">
        <f t="shared" si="27"/>
        <v>-0.9808110275070927</v>
      </c>
    </row>
    <row r="129" spans="1:26" s="70" customFormat="1" ht="15" hidden="1" customHeight="1" outlineLevel="2" x14ac:dyDescent="0.25">
      <c r="A129" s="25"/>
      <c r="B129" s="12" t="str">
        <f>CONCATENATE("          ","6373"," - ","MAINTENANCE CONTRACTS")</f>
        <v xml:space="preserve">          6373 - MAINTENANCE CONTRACTS</v>
      </c>
      <c r="C129" s="12"/>
      <c r="D129" s="8">
        <v>6615.02</v>
      </c>
      <c r="E129" s="3"/>
      <c r="F129" s="7">
        <f t="shared" si="20"/>
        <v>3.0003144356306778E-3</v>
      </c>
      <c r="G129" s="3"/>
      <c r="H129" s="8">
        <v>7655</v>
      </c>
      <c r="I129" s="3"/>
      <c r="J129" s="7">
        <f t="shared" si="21"/>
        <v>4.5129759111436013E-3</v>
      </c>
      <c r="K129" s="3"/>
      <c r="L129" s="8">
        <f t="shared" si="22"/>
        <v>-1039.9799999999996</v>
      </c>
      <c r="M129" s="3"/>
      <c r="N129" s="7">
        <f t="shared" si="23"/>
        <v>-0.13585630306988891</v>
      </c>
      <c r="O129" s="12"/>
      <c r="P129" s="8">
        <v>173032.21</v>
      </c>
      <c r="Q129" s="3"/>
      <c r="R129" s="7">
        <f t="shared" si="24"/>
        <v>7.1903354037566895E-3</v>
      </c>
      <c r="S129" s="3"/>
      <c r="T129" s="8">
        <v>104624</v>
      </c>
      <c r="U129" s="3"/>
      <c r="V129" s="7">
        <f t="shared" si="25"/>
        <v>4.5975562870408928E-3</v>
      </c>
      <c r="W129" s="3"/>
      <c r="X129" s="8">
        <f t="shared" si="26"/>
        <v>68408.209999999992</v>
      </c>
      <c r="Y129" s="3"/>
      <c r="Z129" s="7">
        <f t="shared" si="27"/>
        <v>0.65384816103379717</v>
      </c>
    </row>
    <row r="130" spans="1:26" s="70" customFormat="1" ht="15" hidden="1" customHeight="1" outlineLevel="2" x14ac:dyDescent="0.25">
      <c r="A130" s="25"/>
      <c r="B130" s="12" t="str">
        <f>CONCATENATE("          ","6375"," - ","OUTSIDE REPAIRS &amp; MAINTENANCE")</f>
        <v xml:space="preserve">          6375 - OUTSIDE REPAIRS &amp; MAINTENANCE</v>
      </c>
      <c r="C130" s="12"/>
      <c r="D130" s="8">
        <v>8062.1</v>
      </c>
      <c r="E130" s="3"/>
      <c r="F130" s="7">
        <f t="shared" ref="F130:F166" si="28">IF(D$12=0,0,D130/D$12)</f>
        <v>3.656653345189899E-3</v>
      </c>
      <c r="G130" s="3"/>
      <c r="H130" s="8">
        <v>3484</v>
      </c>
      <c r="I130" s="3"/>
      <c r="J130" s="7">
        <f t="shared" ref="J130:J166" si="29">IF(H$12=0,0,H130/H$12)</f>
        <v>2.053978847083515E-3</v>
      </c>
      <c r="K130" s="3"/>
      <c r="L130" s="8">
        <f t="shared" ref="L130:L166" si="30">+D130-H130</f>
        <v>4578.1000000000004</v>
      </c>
      <c r="M130" s="3"/>
      <c r="N130" s="7">
        <f t="shared" ref="N130:N166" si="31">IF(H130=0,0,L130/H130)</f>
        <v>1.3140355912743973</v>
      </c>
      <c r="O130" s="12"/>
      <c r="P130" s="8">
        <v>123883.68</v>
      </c>
      <c r="Q130" s="3"/>
      <c r="R130" s="7">
        <f t="shared" ref="R130:R166" si="32">IF(P$12=0,0,P130/P$12)</f>
        <v>5.1479733758914856E-3</v>
      </c>
      <c r="S130" s="3"/>
      <c r="T130" s="8">
        <v>48507</v>
      </c>
      <c r="U130" s="3"/>
      <c r="V130" s="7">
        <f t="shared" ref="V130:V166" si="33">IF(T$12=0,0,T130/T$12)</f>
        <v>2.1315727062193434E-3</v>
      </c>
      <c r="W130" s="3"/>
      <c r="X130" s="8">
        <f t="shared" ref="X130:X166" si="34">+P130-T130</f>
        <v>75376.679999999993</v>
      </c>
      <c r="Y130" s="3"/>
      <c r="Z130" s="7">
        <f t="shared" ref="Z130:Z166" si="35">IF(T130=0,0,X130/T130)</f>
        <v>1.5539340713711423</v>
      </c>
    </row>
    <row r="131" spans="1:26" s="69" customFormat="1" ht="15" customHeight="1" outlineLevel="1" collapsed="1" x14ac:dyDescent="0.25">
      <c r="A131" s="26"/>
      <c r="B131" s="14" t="str">
        <f>CONCATENATE("     ","Royalty &amp; Commissions                             ")</f>
        <v xml:space="preserve">     Royalty &amp; Commissions                             </v>
      </c>
      <c r="C131" s="14"/>
      <c r="D131" s="2">
        <f>SUM(OSRRefD22_19x_0)</f>
        <v>3968.3</v>
      </c>
      <c r="E131" s="2"/>
      <c r="F131" s="6">
        <f t="shared" si="28"/>
        <v>1.799865726016432E-3</v>
      </c>
      <c r="G131" s="2"/>
      <c r="H131" s="2">
        <f>SUM(OSRRefH22_19x_0)</f>
        <v>10895</v>
      </c>
      <c r="I131" s="2"/>
      <c r="J131" s="6">
        <f t="shared" si="29"/>
        <v>6.4231054933911874E-3</v>
      </c>
      <c r="K131" s="2"/>
      <c r="L131" s="2">
        <f t="shared" si="30"/>
        <v>-6926.7</v>
      </c>
      <c r="M131" s="2"/>
      <c r="N131" s="6">
        <f t="shared" si="31"/>
        <v>-0.63576870123910045</v>
      </c>
      <c r="O131" s="14"/>
      <c r="P131" s="2">
        <f>SUM(OSRRefP22_19x_0)</f>
        <v>96021.4</v>
      </c>
      <c r="Q131" s="2"/>
      <c r="R131" s="6">
        <f t="shared" si="32"/>
        <v>3.9901592422490733E-3</v>
      </c>
      <c r="S131" s="2"/>
      <c r="T131" s="2">
        <f>SUM(OSRRefT22_19x_0)</f>
        <v>113022</v>
      </c>
      <c r="U131" s="2"/>
      <c r="V131" s="6">
        <f t="shared" si="33"/>
        <v>4.9665947265821976E-3</v>
      </c>
      <c r="W131" s="2"/>
      <c r="X131" s="2">
        <f t="shared" si="34"/>
        <v>-17000.600000000006</v>
      </c>
      <c r="Y131" s="2"/>
      <c r="Z131" s="6">
        <f t="shared" si="35"/>
        <v>-0.15041850259241568</v>
      </c>
    </row>
    <row r="132" spans="1:26" s="70" customFormat="1" ht="15" hidden="1" customHeight="1" outlineLevel="2" x14ac:dyDescent="0.25">
      <c r="A132" s="25"/>
      <c r="B132" s="12" t="str">
        <f>CONCATENATE("          ","6252"," - ","ROYALTY DUE CSTV")</f>
        <v xml:space="preserve">          6252 - ROYALTY DUE CSTV</v>
      </c>
      <c r="C132" s="12"/>
      <c r="D132" s="8"/>
      <c r="E132" s="3"/>
      <c r="F132" s="7">
        <f t="shared" si="28"/>
        <v>0</v>
      </c>
      <c r="G132" s="3"/>
      <c r="H132" s="8">
        <v>2156</v>
      </c>
      <c r="I132" s="3"/>
      <c r="J132" s="7">
        <f t="shared" si="29"/>
        <v>1.2710615368289491E-3</v>
      </c>
      <c r="K132" s="3"/>
      <c r="L132" s="8">
        <f t="shared" si="30"/>
        <v>-2156</v>
      </c>
      <c r="M132" s="3"/>
      <c r="N132" s="7">
        <f t="shared" si="31"/>
        <v>-1</v>
      </c>
      <c r="O132" s="12"/>
      <c r="P132" s="8"/>
      <c r="Q132" s="3"/>
      <c r="R132" s="7">
        <f t="shared" si="32"/>
        <v>0</v>
      </c>
      <c r="S132" s="3"/>
      <c r="T132" s="8">
        <v>15686</v>
      </c>
      <c r="U132" s="3"/>
      <c r="V132" s="7">
        <f t="shared" si="33"/>
        <v>6.8929947161763502E-4</v>
      </c>
      <c r="W132" s="3"/>
      <c r="X132" s="8">
        <f t="shared" si="34"/>
        <v>-15686</v>
      </c>
      <c r="Y132" s="3"/>
      <c r="Z132" s="7">
        <f t="shared" si="35"/>
        <v>-1</v>
      </c>
    </row>
    <row r="133" spans="1:26" s="70" customFormat="1" ht="15" hidden="1" customHeight="1" outlineLevel="2" x14ac:dyDescent="0.25">
      <c r="A133" s="25"/>
      <c r="B133" s="12" t="str">
        <f>CONCATENATE("          ","6253"," - ","ROYALTY DUE ATHLETICS-LRG")</f>
        <v xml:space="preserve">          6253 - ROYALTY DUE ATHLETICS-LRG</v>
      </c>
      <c r="C133" s="12"/>
      <c r="D133" s="8">
        <v>-3708.97</v>
      </c>
      <c r="E133" s="3"/>
      <c r="F133" s="7">
        <f t="shared" si="28"/>
        <v>-1.68224377739162E-3</v>
      </c>
      <c r="G133" s="3"/>
      <c r="H133" s="8">
        <v>0</v>
      </c>
      <c r="I133" s="3"/>
      <c r="J133" s="7">
        <f t="shared" si="29"/>
        <v>0</v>
      </c>
      <c r="K133" s="3"/>
      <c r="L133" s="8">
        <f t="shared" si="30"/>
        <v>-3708.97</v>
      </c>
      <c r="M133" s="3"/>
      <c r="N133" s="7">
        <f t="shared" si="31"/>
        <v>0</v>
      </c>
      <c r="O133" s="12"/>
      <c r="P133" s="8">
        <v>51456.52</v>
      </c>
      <c r="Q133" s="3"/>
      <c r="R133" s="7">
        <f t="shared" si="32"/>
        <v>2.1382703111178787E-3</v>
      </c>
      <c r="S133" s="3"/>
      <c r="T133" s="8">
        <v>38502</v>
      </c>
      <c r="U133" s="3"/>
      <c r="V133" s="7">
        <f t="shared" si="33"/>
        <v>1.6919168848796497E-3</v>
      </c>
      <c r="W133" s="3"/>
      <c r="X133" s="8">
        <f t="shared" si="34"/>
        <v>12954.519999999997</v>
      </c>
      <c r="Y133" s="3"/>
      <c r="Z133" s="7">
        <f t="shared" si="35"/>
        <v>0.33646356033452801</v>
      </c>
    </row>
    <row r="134" spans="1:26" s="70" customFormat="1" ht="15" hidden="1" customHeight="1" outlineLevel="2" x14ac:dyDescent="0.25">
      <c r="A134" s="25"/>
      <c r="B134" s="12" t="str">
        <f>CONCATENATE("          ","6254"," - ","ROYALTY &amp; COMMISSIONS")</f>
        <v xml:space="preserve">          6254 - ROYALTY &amp; COMMISSIONS</v>
      </c>
      <c r="C134" s="12"/>
      <c r="D134" s="8">
        <v>6416.46</v>
      </c>
      <c r="E134" s="3"/>
      <c r="F134" s="7">
        <f t="shared" si="28"/>
        <v>2.9102553829991168E-3</v>
      </c>
      <c r="G134" s="3"/>
      <c r="H134" s="8">
        <v>1000</v>
      </c>
      <c r="I134" s="3"/>
      <c r="J134" s="7">
        <f t="shared" si="29"/>
        <v>5.8954616736036595E-4</v>
      </c>
      <c r="K134" s="3"/>
      <c r="L134" s="8">
        <f t="shared" si="30"/>
        <v>5416.46</v>
      </c>
      <c r="M134" s="3"/>
      <c r="N134" s="7">
        <f t="shared" si="31"/>
        <v>5.4164599999999998</v>
      </c>
      <c r="O134" s="12"/>
      <c r="P134" s="8">
        <v>31253.42</v>
      </c>
      <c r="Q134" s="3"/>
      <c r="R134" s="7">
        <f t="shared" si="32"/>
        <v>1.2987326019501073E-3</v>
      </c>
      <c r="S134" s="3"/>
      <c r="T134" s="8">
        <v>4500</v>
      </c>
      <c r="U134" s="3"/>
      <c r="V134" s="7">
        <f t="shared" si="33"/>
        <v>1.9774624647962244E-4</v>
      </c>
      <c r="W134" s="3"/>
      <c r="X134" s="8">
        <f t="shared" si="34"/>
        <v>26753.42</v>
      </c>
      <c r="Y134" s="3"/>
      <c r="Z134" s="7">
        <f t="shared" si="35"/>
        <v>5.9452044444444443</v>
      </c>
    </row>
    <row r="135" spans="1:26" s="70" customFormat="1" ht="15" hidden="1" customHeight="1" outlineLevel="2" x14ac:dyDescent="0.25">
      <c r="A135" s="25"/>
      <c r="B135" s="12" t="str">
        <f>CONCATENATE("          ","6259"," - ","ROYALTY &amp; COMMISSIONS")</f>
        <v xml:space="preserve">          6259 - ROYALTY &amp; COMMISSIONS</v>
      </c>
      <c r="C135" s="12"/>
      <c r="D135" s="8">
        <v>1260.81</v>
      </c>
      <c r="E135" s="3"/>
      <c r="F135" s="7">
        <f t="shared" si="28"/>
        <v>5.7185412040893521E-4</v>
      </c>
      <c r="G135" s="3"/>
      <c r="H135" s="8">
        <v>7739</v>
      </c>
      <c r="I135" s="3"/>
      <c r="J135" s="7">
        <f t="shared" si="29"/>
        <v>4.5624977892018727E-3</v>
      </c>
      <c r="K135" s="3"/>
      <c r="L135" s="8">
        <f t="shared" si="30"/>
        <v>-6478.1900000000005</v>
      </c>
      <c r="M135" s="3"/>
      <c r="N135" s="7">
        <f t="shared" si="31"/>
        <v>-0.83708360253262704</v>
      </c>
      <c r="O135" s="12"/>
      <c r="P135" s="8">
        <v>13311.46</v>
      </c>
      <c r="Q135" s="3"/>
      <c r="R135" s="7">
        <f t="shared" si="32"/>
        <v>5.531563291810873E-4</v>
      </c>
      <c r="S135" s="3"/>
      <c r="T135" s="8">
        <v>54334</v>
      </c>
      <c r="U135" s="3"/>
      <c r="V135" s="7">
        <f t="shared" si="33"/>
        <v>2.3876321236052903E-3</v>
      </c>
      <c r="W135" s="3"/>
      <c r="X135" s="8">
        <f t="shared" si="34"/>
        <v>-41022.54</v>
      </c>
      <c r="Y135" s="3"/>
      <c r="Z135" s="7">
        <f t="shared" si="35"/>
        <v>-0.75500680973239598</v>
      </c>
    </row>
    <row r="136" spans="1:26" s="69" customFormat="1" ht="15" customHeight="1" outlineLevel="1" collapsed="1" x14ac:dyDescent="0.25">
      <c r="A136" s="26"/>
      <c r="B136" s="14" t="str">
        <f>CONCATENATE("     ","Services                                          ")</f>
        <v xml:space="preserve">     Services                                          </v>
      </c>
      <c r="C136" s="14"/>
      <c r="D136" s="2">
        <f>SUM(OSRRefD22_20x_0)</f>
        <v>26493.08</v>
      </c>
      <c r="E136" s="2"/>
      <c r="F136" s="6">
        <f t="shared" si="28"/>
        <v>1.2016225252277151E-2</v>
      </c>
      <c r="G136" s="2"/>
      <c r="H136" s="2">
        <f>SUM(OSRRefH22_20x_0)</f>
        <v>37453</v>
      </c>
      <c r="I136" s="2"/>
      <c r="J136" s="6">
        <f t="shared" si="29"/>
        <v>2.2080272606147786E-2</v>
      </c>
      <c r="K136" s="2"/>
      <c r="L136" s="2">
        <f t="shared" si="30"/>
        <v>-10959.919999999998</v>
      </c>
      <c r="M136" s="2"/>
      <c r="N136" s="6">
        <f t="shared" si="31"/>
        <v>-0.29263129789335962</v>
      </c>
      <c r="O136" s="14"/>
      <c r="P136" s="2">
        <f>SUM(OSRRefP22_20x_0)</f>
        <v>339190.61</v>
      </c>
      <c r="Q136" s="2"/>
      <c r="R136" s="6">
        <f t="shared" si="32"/>
        <v>1.4095030351313364E-2</v>
      </c>
      <c r="S136" s="2"/>
      <c r="T136" s="2">
        <f>SUM(OSRRefT22_20x_0)</f>
        <v>404236</v>
      </c>
      <c r="U136" s="2"/>
      <c r="V136" s="6">
        <f t="shared" si="33"/>
        <v>1.7763589264874813E-2</v>
      </c>
      <c r="W136" s="2"/>
      <c r="X136" s="2">
        <f t="shared" si="34"/>
        <v>-65045.390000000014</v>
      </c>
      <c r="Y136" s="2"/>
      <c r="Z136" s="6">
        <f t="shared" si="35"/>
        <v>-0.16090944398816537</v>
      </c>
    </row>
    <row r="137" spans="1:26" s="70" customFormat="1" ht="15" hidden="1" customHeight="1" outlineLevel="2" x14ac:dyDescent="0.25">
      <c r="A137" s="25"/>
      <c r="B137" s="12" t="str">
        <f>CONCATENATE("          ","6282"," - ","JANITORIAL/EXTERMINATOR EXPENS")</f>
        <v xml:space="preserve">          6282 - JANITORIAL/EXTERMINATOR EXPENS</v>
      </c>
      <c r="C137" s="12"/>
      <c r="D137" s="8">
        <v>2746.35</v>
      </c>
      <c r="E137" s="3"/>
      <c r="F137" s="7">
        <f t="shared" si="28"/>
        <v>1.2456369822456033E-3</v>
      </c>
      <c r="G137" s="3"/>
      <c r="H137" s="8">
        <v>7256</v>
      </c>
      <c r="I137" s="3"/>
      <c r="J137" s="7">
        <f t="shared" si="29"/>
        <v>4.2777469903668153E-3</v>
      </c>
      <c r="K137" s="3"/>
      <c r="L137" s="8">
        <f t="shared" si="30"/>
        <v>-4509.6499999999996</v>
      </c>
      <c r="M137" s="3"/>
      <c r="N137" s="7">
        <f t="shared" si="31"/>
        <v>-0.62150633958103629</v>
      </c>
      <c r="O137" s="12"/>
      <c r="P137" s="8">
        <v>37334.76</v>
      </c>
      <c r="Q137" s="3"/>
      <c r="R137" s="7">
        <f t="shared" si="32"/>
        <v>1.5514420501174847E-3</v>
      </c>
      <c r="S137" s="3"/>
      <c r="T137" s="8">
        <v>79458</v>
      </c>
      <c r="U137" s="3"/>
      <c r="V137" s="7">
        <f t="shared" si="33"/>
        <v>3.4916713895061869E-3</v>
      </c>
      <c r="W137" s="3"/>
      <c r="X137" s="8">
        <f t="shared" si="34"/>
        <v>-42123.24</v>
      </c>
      <c r="Y137" s="3"/>
      <c r="Z137" s="7">
        <f t="shared" si="35"/>
        <v>-0.53013214528430108</v>
      </c>
    </row>
    <row r="138" spans="1:26" s="70" customFormat="1" ht="15" hidden="1" customHeight="1" outlineLevel="2" x14ac:dyDescent="0.25">
      <c r="A138" s="25"/>
      <c r="B138" s="12" t="str">
        <f>CONCATENATE("          ","6283"," - ","PLANT SERVICE")</f>
        <v xml:space="preserve">          6283 - PLANT SERVICE</v>
      </c>
      <c r="C138" s="12"/>
      <c r="D138" s="8"/>
      <c r="E138" s="3"/>
      <c r="F138" s="7">
        <f t="shared" si="28"/>
        <v>0</v>
      </c>
      <c r="G138" s="3"/>
      <c r="H138" s="8">
        <v>100</v>
      </c>
      <c r="I138" s="3"/>
      <c r="J138" s="7">
        <f t="shared" si="29"/>
        <v>5.8954616736036601E-5</v>
      </c>
      <c r="K138" s="3"/>
      <c r="L138" s="8">
        <f t="shared" si="30"/>
        <v>-100</v>
      </c>
      <c r="M138" s="3"/>
      <c r="N138" s="7">
        <f t="shared" si="31"/>
        <v>-1</v>
      </c>
      <c r="O138" s="12"/>
      <c r="P138" s="8"/>
      <c r="Q138" s="3"/>
      <c r="R138" s="7">
        <f t="shared" si="32"/>
        <v>0</v>
      </c>
      <c r="S138" s="3"/>
      <c r="T138" s="8">
        <v>1100</v>
      </c>
      <c r="U138" s="3"/>
      <c r="V138" s="7">
        <f t="shared" si="33"/>
        <v>4.8337971361685485E-5</v>
      </c>
      <c r="W138" s="3"/>
      <c r="X138" s="8">
        <f t="shared" si="34"/>
        <v>-1100</v>
      </c>
      <c r="Y138" s="3"/>
      <c r="Z138" s="7">
        <f t="shared" si="35"/>
        <v>-1</v>
      </c>
    </row>
    <row r="139" spans="1:26" s="70" customFormat="1" ht="15" hidden="1" customHeight="1" outlineLevel="2" x14ac:dyDescent="0.25">
      <c r="A139" s="25"/>
      <c r="B139" s="12" t="str">
        <f>CONCATENATE("          ","6284"," - ","TRASH REMOVAL EXPENSE")</f>
        <v xml:space="preserve">          6284 - TRASH REMOVAL EXPENSE</v>
      </c>
      <c r="C139" s="12"/>
      <c r="D139" s="8">
        <v>149.69999999999999</v>
      </c>
      <c r="E139" s="3"/>
      <c r="F139" s="7">
        <f t="shared" si="28"/>
        <v>6.7898066976957352E-5</v>
      </c>
      <c r="G139" s="3"/>
      <c r="H139" s="8">
        <v>1660</v>
      </c>
      <c r="I139" s="3"/>
      <c r="J139" s="7">
        <f t="shared" si="29"/>
        <v>9.7864663781820744E-4</v>
      </c>
      <c r="K139" s="3"/>
      <c r="L139" s="8">
        <f t="shared" si="30"/>
        <v>-1510.3</v>
      </c>
      <c r="M139" s="3"/>
      <c r="N139" s="7">
        <f t="shared" si="31"/>
        <v>-0.90981927710843369</v>
      </c>
      <c r="O139" s="12"/>
      <c r="P139" s="8">
        <v>1489.87</v>
      </c>
      <c r="Q139" s="3"/>
      <c r="R139" s="7">
        <f t="shared" si="32"/>
        <v>6.1911392150600049E-5</v>
      </c>
      <c r="S139" s="3"/>
      <c r="T139" s="8">
        <v>18440</v>
      </c>
      <c r="U139" s="3"/>
      <c r="V139" s="7">
        <f t="shared" si="33"/>
        <v>8.1032017446316397E-4</v>
      </c>
      <c r="W139" s="3"/>
      <c r="X139" s="8">
        <f t="shared" si="34"/>
        <v>-16950.13</v>
      </c>
      <c r="Y139" s="3"/>
      <c r="Z139" s="7">
        <f t="shared" si="35"/>
        <v>-0.91920444685466385</v>
      </c>
    </row>
    <row r="140" spans="1:26" s="70" customFormat="1" ht="15" hidden="1" customHeight="1" outlineLevel="2" x14ac:dyDescent="0.25">
      <c r="A140" s="25"/>
      <c r="B140" s="12" t="str">
        <f>CONCATENATE("          ","6285"," - ","JANITORIAL SERVICES")</f>
        <v xml:space="preserve">          6285 - JANITORIAL SERVICES</v>
      </c>
      <c r="C140" s="12"/>
      <c r="D140" s="8">
        <v>18816.060000000001</v>
      </c>
      <c r="E140" s="3"/>
      <c r="F140" s="7">
        <f t="shared" si="28"/>
        <v>8.534229139094511E-3</v>
      </c>
      <c r="G140" s="3"/>
      <c r="H140" s="8">
        <v>23083</v>
      </c>
      <c r="I140" s="3"/>
      <c r="J140" s="7">
        <f t="shared" si="29"/>
        <v>1.3608494181179329E-2</v>
      </c>
      <c r="K140" s="3"/>
      <c r="L140" s="8">
        <f t="shared" si="30"/>
        <v>-4266.9399999999987</v>
      </c>
      <c r="M140" s="3"/>
      <c r="N140" s="7">
        <f t="shared" si="31"/>
        <v>-0.18485205562535192</v>
      </c>
      <c r="O140" s="12"/>
      <c r="P140" s="8">
        <v>260157.3</v>
      </c>
      <c r="Q140" s="3"/>
      <c r="R140" s="7">
        <f t="shared" si="32"/>
        <v>1.0810809413667837E-2</v>
      </c>
      <c r="S140" s="3"/>
      <c r="T140" s="8">
        <v>247336</v>
      </c>
      <c r="U140" s="3"/>
      <c r="V140" s="7">
        <f t="shared" si="33"/>
        <v>1.086883680428531E-2</v>
      </c>
      <c r="W140" s="3"/>
      <c r="X140" s="8">
        <f t="shared" si="34"/>
        <v>12821.299999999988</v>
      </c>
      <c r="Y140" s="3"/>
      <c r="Z140" s="7">
        <f t="shared" si="35"/>
        <v>5.1837581265970128E-2</v>
      </c>
    </row>
    <row r="141" spans="1:26" s="70" customFormat="1" ht="15" hidden="1" customHeight="1" outlineLevel="2" x14ac:dyDescent="0.25">
      <c r="A141" s="25"/>
      <c r="B141" s="12" t="str">
        <f>CONCATENATE("          ","6286"," - ","LAUNDRY EXPENSE")</f>
        <v xml:space="preserve">          6286 - LAUNDRY EXPENSE</v>
      </c>
      <c r="C141" s="12"/>
      <c r="D141" s="8">
        <v>4780.97</v>
      </c>
      <c r="E141" s="3"/>
      <c r="F141" s="7">
        <f t="shared" si="28"/>
        <v>2.168461063960079E-3</v>
      </c>
      <c r="G141" s="3"/>
      <c r="H141" s="8">
        <v>5354</v>
      </c>
      <c r="I141" s="3"/>
      <c r="J141" s="7">
        <f t="shared" si="29"/>
        <v>3.1564301800473993E-3</v>
      </c>
      <c r="K141" s="3"/>
      <c r="L141" s="8">
        <f t="shared" si="30"/>
        <v>-573.02999999999975</v>
      </c>
      <c r="M141" s="3"/>
      <c r="N141" s="7">
        <f t="shared" si="31"/>
        <v>-0.10702838998879338</v>
      </c>
      <c r="O141" s="12"/>
      <c r="P141" s="8">
        <v>40208.68</v>
      </c>
      <c r="Q141" s="3"/>
      <c r="R141" s="7">
        <f t="shared" si="32"/>
        <v>1.6708674953774417E-3</v>
      </c>
      <c r="S141" s="3"/>
      <c r="T141" s="8">
        <v>57902</v>
      </c>
      <c r="U141" s="3"/>
      <c r="V141" s="7">
        <f t="shared" si="33"/>
        <v>2.5444229252584664E-3</v>
      </c>
      <c r="W141" s="3"/>
      <c r="X141" s="8">
        <f t="shared" si="34"/>
        <v>-17693.32</v>
      </c>
      <c r="Y141" s="3"/>
      <c r="Z141" s="7">
        <f t="shared" si="35"/>
        <v>-0.30557355531760561</v>
      </c>
    </row>
    <row r="142" spans="1:26" s="69" customFormat="1" ht="15" customHeight="1" outlineLevel="1" collapsed="1" x14ac:dyDescent="0.25">
      <c r="A142" s="26"/>
      <c r="B142" s="14" t="str">
        <f>CONCATENATE("     ","Subscriptions &amp; Dues                              ")</f>
        <v xml:space="preserve">     Subscriptions &amp; Dues                              </v>
      </c>
      <c r="C142" s="14"/>
      <c r="D142" s="2">
        <f>SUM(OSRRefD22_21x_0)</f>
        <v>3783.09</v>
      </c>
      <c r="E142" s="2"/>
      <c r="F142" s="6">
        <f t="shared" si="28"/>
        <v>1.7158617114218944E-3</v>
      </c>
      <c r="G142" s="2"/>
      <c r="H142" s="2">
        <f>SUM(OSRRefH22_21x_0)</f>
        <v>1176</v>
      </c>
      <c r="I142" s="2"/>
      <c r="J142" s="6">
        <f t="shared" si="29"/>
        <v>6.9330629281579037E-4</v>
      </c>
      <c r="K142" s="2"/>
      <c r="L142" s="2">
        <f t="shared" si="30"/>
        <v>2607.09</v>
      </c>
      <c r="M142" s="2"/>
      <c r="N142" s="6">
        <f t="shared" si="31"/>
        <v>2.2169132653061228</v>
      </c>
      <c r="O142" s="14"/>
      <c r="P142" s="2">
        <f>SUM(OSRRefP22_21x_0)</f>
        <v>15086.43</v>
      </c>
      <c r="Q142" s="2"/>
      <c r="R142" s="6">
        <f t="shared" si="32"/>
        <v>6.2691502203720932E-4</v>
      </c>
      <c r="S142" s="2"/>
      <c r="T142" s="2">
        <f>SUM(OSRRefT22_21x_0)</f>
        <v>21096</v>
      </c>
      <c r="U142" s="2"/>
      <c r="V142" s="6">
        <f t="shared" si="33"/>
        <v>9.2703440349647004E-4</v>
      </c>
      <c r="W142" s="2"/>
      <c r="X142" s="2">
        <f t="shared" si="34"/>
        <v>-6009.57</v>
      </c>
      <c r="Y142" s="2"/>
      <c r="Z142" s="6">
        <f t="shared" si="35"/>
        <v>-0.28486774744027304</v>
      </c>
    </row>
    <row r="143" spans="1:26" s="70" customFormat="1" ht="15" hidden="1" customHeight="1" outlineLevel="2" x14ac:dyDescent="0.25">
      <c r="A143" s="25"/>
      <c r="B143" s="12" t="str">
        <f>CONCATENATE("          ","6258"," - ","MEMBERSHIP DUES")</f>
        <v xml:space="preserve">          6258 - MEMBERSHIP DUES</v>
      </c>
      <c r="C143" s="12"/>
      <c r="D143" s="8">
        <v>1778.84</v>
      </c>
      <c r="E143" s="3"/>
      <c r="F143" s="7">
        <f t="shared" si="28"/>
        <v>8.0681227429051984E-4</v>
      </c>
      <c r="G143" s="3"/>
      <c r="H143" s="8">
        <v>385</v>
      </c>
      <c r="I143" s="3"/>
      <c r="J143" s="7">
        <f t="shared" si="29"/>
        <v>2.269752744337409E-4</v>
      </c>
      <c r="K143" s="3"/>
      <c r="L143" s="8">
        <f t="shared" si="30"/>
        <v>1393.84</v>
      </c>
      <c r="M143" s="3"/>
      <c r="N143" s="7">
        <f t="shared" si="31"/>
        <v>3.6203636363636362</v>
      </c>
      <c r="O143" s="12"/>
      <c r="P143" s="8">
        <v>4767.1400000000003</v>
      </c>
      <c r="Q143" s="3"/>
      <c r="R143" s="7">
        <f t="shared" si="32"/>
        <v>1.9809800450832054E-4</v>
      </c>
      <c r="S143" s="3"/>
      <c r="T143" s="8">
        <v>11425</v>
      </c>
      <c r="U143" s="3"/>
      <c r="V143" s="7">
        <f t="shared" si="33"/>
        <v>5.0205574800659704E-4</v>
      </c>
      <c r="W143" s="3"/>
      <c r="X143" s="8">
        <f t="shared" si="34"/>
        <v>-6657.86</v>
      </c>
      <c r="Y143" s="3"/>
      <c r="Z143" s="7">
        <f t="shared" si="35"/>
        <v>-0.58274485776805252</v>
      </c>
    </row>
    <row r="144" spans="1:26" s="70" customFormat="1" ht="15" hidden="1" customHeight="1" outlineLevel="2" x14ac:dyDescent="0.25">
      <c r="A144" s="25"/>
      <c r="B144" s="12" t="str">
        <f>CONCATENATE("          ","6275"," - ","SUBSCRIPTIONS")</f>
        <v xml:space="preserve">          6275 - SUBSCRIPTIONS</v>
      </c>
      <c r="C144" s="12"/>
      <c r="D144" s="8">
        <v>2004.25</v>
      </c>
      <c r="E144" s="3"/>
      <c r="F144" s="7">
        <f t="shared" si="28"/>
        <v>9.090494371313746E-4</v>
      </c>
      <c r="G144" s="3"/>
      <c r="H144" s="8">
        <v>791</v>
      </c>
      <c r="I144" s="3"/>
      <c r="J144" s="7">
        <f t="shared" si="29"/>
        <v>4.6633101838204952E-4</v>
      </c>
      <c r="K144" s="3"/>
      <c r="L144" s="8">
        <f t="shared" si="30"/>
        <v>1213.25</v>
      </c>
      <c r="M144" s="3"/>
      <c r="N144" s="7">
        <f t="shared" si="31"/>
        <v>1.533817951959545</v>
      </c>
      <c r="O144" s="12"/>
      <c r="P144" s="8">
        <v>10319.290000000001</v>
      </c>
      <c r="Q144" s="3"/>
      <c r="R144" s="7">
        <f t="shared" si="32"/>
        <v>4.2881701752888883E-4</v>
      </c>
      <c r="S144" s="3"/>
      <c r="T144" s="8">
        <v>9671</v>
      </c>
      <c r="U144" s="3"/>
      <c r="V144" s="7">
        <f t="shared" si="33"/>
        <v>4.2497865548987306E-4</v>
      </c>
      <c r="W144" s="3"/>
      <c r="X144" s="8">
        <f t="shared" si="34"/>
        <v>648.29000000000087</v>
      </c>
      <c r="Y144" s="3"/>
      <c r="Z144" s="7">
        <f t="shared" si="35"/>
        <v>6.7034432840450922E-2</v>
      </c>
    </row>
    <row r="145" spans="1:26" s="69" customFormat="1" ht="15" customHeight="1" outlineLevel="1" collapsed="1" x14ac:dyDescent="0.25">
      <c r="A145" s="26"/>
      <c r="B145" s="14" t="str">
        <f>CONCATENATE("     ","Supplies                                          ")</f>
        <v xml:space="preserve">     Supplies                                          </v>
      </c>
      <c r="C145" s="14"/>
      <c r="D145" s="2">
        <f>SUM(OSRRefD22_22x_0)</f>
        <v>54507.76</v>
      </c>
      <c r="E145" s="2"/>
      <c r="F145" s="6">
        <f t="shared" si="28"/>
        <v>2.4722588772504456E-2</v>
      </c>
      <c r="G145" s="2"/>
      <c r="H145" s="2">
        <f>SUM(OSRRefH22_22x_0)</f>
        <v>50205</v>
      </c>
      <c r="I145" s="2"/>
      <c r="J145" s="6">
        <f t="shared" si="29"/>
        <v>2.9598165332327175E-2</v>
      </c>
      <c r="K145" s="2"/>
      <c r="L145" s="2">
        <f t="shared" si="30"/>
        <v>4302.760000000002</v>
      </c>
      <c r="M145" s="2"/>
      <c r="N145" s="6">
        <f t="shared" si="31"/>
        <v>8.5703814361119457E-2</v>
      </c>
      <c r="O145" s="14"/>
      <c r="P145" s="2">
        <f>SUM(OSRRefP22_22x_0)</f>
        <v>535315.06000000006</v>
      </c>
      <c r="Q145" s="2"/>
      <c r="R145" s="6">
        <f t="shared" si="32"/>
        <v>2.2244961375007213E-2</v>
      </c>
      <c r="S145" s="2"/>
      <c r="T145" s="2">
        <f>SUM(OSRRefT22_22x_0)</f>
        <v>571633</v>
      </c>
      <c r="U145" s="2"/>
      <c r="V145" s="6">
        <f t="shared" si="33"/>
        <v>2.5119617803085782E-2</v>
      </c>
      <c r="W145" s="2"/>
      <c r="X145" s="2">
        <f t="shared" si="34"/>
        <v>-36317.939999999944</v>
      </c>
      <c r="Y145" s="2"/>
      <c r="Z145" s="6">
        <f t="shared" si="35"/>
        <v>-6.3533665831048844E-2</v>
      </c>
    </row>
    <row r="146" spans="1:26" s="70" customFormat="1" ht="15" hidden="1" customHeight="1" outlineLevel="2" x14ac:dyDescent="0.25">
      <c r="A146" s="25"/>
      <c r="B146" s="12" t="str">
        <f>CONCATENATE("          ","6234"," - ","EXPENDABLE SUPPLIES &amp; EQUIPMEN")</f>
        <v xml:space="preserve">          6234 - EXPENDABLE SUPPLIES &amp; EQUIPMEN</v>
      </c>
      <c r="C146" s="12"/>
      <c r="D146" s="8"/>
      <c r="E146" s="3"/>
      <c r="F146" s="7">
        <f t="shared" si="28"/>
        <v>0</v>
      </c>
      <c r="G146" s="3"/>
      <c r="H146" s="8">
        <v>6492</v>
      </c>
      <c r="I146" s="3"/>
      <c r="J146" s="7">
        <f t="shared" si="29"/>
        <v>3.8273337185034959E-3</v>
      </c>
      <c r="K146" s="3"/>
      <c r="L146" s="8">
        <f t="shared" si="30"/>
        <v>-6492</v>
      </c>
      <c r="M146" s="3"/>
      <c r="N146" s="7">
        <f t="shared" si="31"/>
        <v>-1</v>
      </c>
      <c r="O146" s="12"/>
      <c r="P146" s="8">
        <v>12156.59</v>
      </c>
      <c r="Q146" s="3"/>
      <c r="R146" s="7">
        <f t="shared" si="32"/>
        <v>5.0516582702119178E-4</v>
      </c>
      <c r="S146" s="3"/>
      <c r="T146" s="8">
        <v>71062</v>
      </c>
      <c r="U146" s="3"/>
      <c r="V146" s="7">
        <f t="shared" si="33"/>
        <v>3.1227208371855399E-3</v>
      </c>
      <c r="W146" s="3"/>
      <c r="X146" s="8">
        <f t="shared" si="34"/>
        <v>-58905.41</v>
      </c>
      <c r="Y146" s="3"/>
      <c r="Z146" s="7">
        <f t="shared" si="35"/>
        <v>-0.82892980777349357</v>
      </c>
    </row>
    <row r="147" spans="1:26" s="70" customFormat="1" ht="15" hidden="1" customHeight="1" outlineLevel="2" x14ac:dyDescent="0.25">
      <c r="A147" s="25"/>
      <c r="B147" s="12" t="str">
        <f>CONCATENATE("          ","6235"," - ","COVID-19 EXPENSES")</f>
        <v xml:space="preserve">          6235 - COVID-19 EXPENSES</v>
      </c>
      <c r="C147" s="12"/>
      <c r="D147" s="8">
        <v>156</v>
      </c>
      <c r="E147" s="3"/>
      <c r="F147" s="7">
        <f t="shared" si="28"/>
        <v>7.0755500657350344E-5</v>
      </c>
      <c r="G147" s="3"/>
      <c r="H147" s="8">
        <v>375</v>
      </c>
      <c r="I147" s="3"/>
      <c r="J147" s="7">
        <f t="shared" si="29"/>
        <v>2.2107981276013724E-4</v>
      </c>
      <c r="K147" s="3"/>
      <c r="L147" s="8">
        <f t="shared" si="30"/>
        <v>-219</v>
      </c>
      <c r="M147" s="3"/>
      <c r="N147" s="7">
        <f t="shared" si="31"/>
        <v>-0.58399999999999996</v>
      </c>
      <c r="O147" s="12"/>
      <c r="P147" s="8">
        <v>4435.6099999999997</v>
      </c>
      <c r="Q147" s="3"/>
      <c r="R147" s="7">
        <f t="shared" si="32"/>
        <v>1.8432131000498236E-4</v>
      </c>
      <c r="S147" s="3"/>
      <c r="T147" s="8">
        <v>4375</v>
      </c>
      <c r="U147" s="3"/>
      <c r="V147" s="7">
        <f t="shared" si="33"/>
        <v>1.9225329518852182E-4</v>
      </c>
      <c r="W147" s="3"/>
      <c r="X147" s="8">
        <f t="shared" si="34"/>
        <v>60.609999999999673</v>
      </c>
      <c r="Y147" s="3"/>
      <c r="Z147" s="7">
        <f t="shared" si="35"/>
        <v>1.3853714285714211E-2</v>
      </c>
    </row>
    <row r="148" spans="1:26" s="70" customFormat="1" ht="15" hidden="1" customHeight="1" outlineLevel="2" x14ac:dyDescent="0.25">
      <c r="A148" s="25"/>
      <c r="B148" s="12" t="str">
        <f>CONCATENATE("          ","6237"," - ","JANITORIAL SUPPLIES")</f>
        <v xml:space="preserve">          6237 - JANITORIAL SUPPLIES</v>
      </c>
      <c r="C148" s="12"/>
      <c r="D148" s="8">
        <v>9589.9699999999993</v>
      </c>
      <c r="E148" s="3"/>
      <c r="F148" s="7">
        <f t="shared" si="28"/>
        <v>4.3496354399933978E-3</v>
      </c>
      <c r="G148" s="3"/>
      <c r="H148" s="8">
        <v>10025</v>
      </c>
      <c r="I148" s="3"/>
      <c r="J148" s="7">
        <f t="shared" si="29"/>
        <v>5.9102003277876694E-3</v>
      </c>
      <c r="K148" s="3"/>
      <c r="L148" s="8">
        <f t="shared" si="30"/>
        <v>-435.03000000000065</v>
      </c>
      <c r="M148" s="3"/>
      <c r="N148" s="7">
        <f t="shared" si="31"/>
        <v>-4.3394513715710792E-2</v>
      </c>
      <c r="O148" s="12"/>
      <c r="P148" s="8">
        <v>96452.76</v>
      </c>
      <c r="Q148" s="3"/>
      <c r="R148" s="7">
        <f t="shared" si="32"/>
        <v>4.0080843619696421E-3</v>
      </c>
      <c r="S148" s="3"/>
      <c r="T148" s="8">
        <v>114683</v>
      </c>
      <c r="U148" s="3"/>
      <c r="V148" s="7">
        <f t="shared" si="33"/>
        <v>5.0395850633383425E-3</v>
      </c>
      <c r="W148" s="3"/>
      <c r="X148" s="8">
        <f t="shared" si="34"/>
        <v>-18230.240000000005</v>
      </c>
      <c r="Y148" s="3"/>
      <c r="Z148" s="7">
        <f t="shared" si="35"/>
        <v>-0.15896200831858256</v>
      </c>
    </row>
    <row r="149" spans="1:26" s="70" customFormat="1" ht="15" hidden="1" customHeight="1" outlineLevel="2" x14ac:dyDescent="0.25">
      <c r="A149" s="25"/>
      <c r="B149" s="12" t="str">
        <f>CONCATENATE("          ","6239"," - ","KITCHEN SUPPLIES")</f>
        <v xml:space="preserve">          6239 - KITCHEN SUPPLIES</v>
      </c>
      <c r="C149" s="12"/>
      <c r="D149" s="8">
        <v>1200.6500000000001</v>
      </c>
      <c r="E149" s="3"/>
      <c r="F149" s="7">
        <f t="shared" si="28"/>
        <v>5.4456789656569043E-4</v>
      </c>
      <c r="G149" s="3"/>
      <c r="H149" s="8">
        <v>3300</v>
      </c>
      <c r="I149" s="3"/>
      <c r="J149" s="7">
        <f t="shared" si="29"/>
        <v>1.9455023522892078E-3</v>
      </c>
      <c r="K149" s="3"/>
      <c r="L149" s="8">
        <f t="shared" si="30"/>
        <v>-2099.35</v>
      </c>
      <c r="M149" s="3"/>
      <c r="N149" s="7">
        <f t="shared" si="31"/>
        <v>-0.63616666666666666</v>
      </c>
      <c r="O149" s="12"/>
      <c r="P149" s="8">
        <v>45826.65</v>
      </c>
      <c r="Q149" s="3"/>
      <c r="R149" s="7">
        <f t="shared" si="32"/>
        <v>1.9043216516194674E-3</v>
      </c>
      <c r="S149" s="3"/>
      <c r="T149" s="8">
        <v>50749</v>
      </c>
      <c r="U149" s="3"/>
      <c r="V149" s="7">
        <f t="shared" si="33"/>
        <v>2.2300942805765244E-3</v>
      </c>
      <c r="W149" s="3"/>
      <c r="X149" s="8">
        <f t="shared" si="34"/>
        <v>-4922.3499999999985</v>
      </c>
      <c r="Y149" s="3"/>
      <c r="Z149" s="7">
        <f t="shared" si="35"/>
        <v>-9.699402943900369E-2</v>
      </c>
    </row>
    <row r="150" spans="1:26" s="70" customFormat="1" ht="15" hidden="1" customHeight="1" outlineLevel="2" x14ac:dyDescent="0.25">
      <c r="A150" s="25"/>
      <c r="B150" s="12" t="str">
        <f>CONCATENATE("          ","6241"," - ","OFFICE EXPENSE")</f>
        <v xml:space="preserve">          6241 - OFFICE EXPENSE</v>
      </c>
      <c r="C150" s="12"/>
      <c r="D150" s="8">
        <v>19646.259999999998</v>
      </c>
      <c r="E150" s="3"/>
      <c r="F150" s="7">
        <f t="shared" si="28"/>
        <v>8.9107753996440758E-3</v>
      </c>
      <c r="G150" s="3"/>
      <c r="H150" s="8">
        <v>2075</v>
      </c>
      <c r="I150" s="3"/>
      <c r="J150" s="7">
        <f t="shared" si="29"/>
        <v>1.2233082972727594E-3</v>
      </c>
      <c r="K150" s="3"/>
      <c r="L150" s="8">
        <f t="shared" si="30"/>
        <v>17571.259999999998</v>
      </c>
      <c r="M150" s="3"/>
      <c r="N150" s="7">
        <f t="shared" si="31"/>
        <v>8.4680771084337341</v>
      </c>
      <c r="O150" s="12"/>
      <c r="P150" s="8">
        <v>93314.53</v>
      </c>
      <c r="Q150" s="3"/>
      <c r="R150" s="7">
        <f t="shared" si="32"/>
        <v>3.8776755422814963E-3</v>
      </c>
      <c r="S150" s="3"/>
      <c r="T150" s="8">
        <v>26752</v>
      </c>
      <c r="U150" s="3"/>
      <c r="V150" s="7">
        <f t="shared" si="33"/>
        <v>1.1755794635161911E-3</v>
      </c>
      <c r="W150" s="3"/>
      <c r="X150" s="8">
        <f t="shared" si="34"/>
        <v>66562.53</v>
      </c>
      <c r="Y150" s="3"/>
      <c r="Z150" s="7">
        <f t="shared" si="35"/>
        <v>2.4881328498803827</v>
      </c>
    </row>
    <row r="151" spans="1:26" s="70" customFormat="1" ht="15" hidden="1" customHeight="1" outlineLevel="2" x14ac:dyDescent="0.25">
      <c r="A151" s="25"/>
      <c r="B151" s="12" t="str">
        <f>CONCATENATE("          ","6243"," - ","PAPER SUPPLIES")</f>
        <v xml:space="preserve">          6243 - PAPER SUPPLIES</v>
      </c>
      <c r="C151" s="12"/>
      <c r="D151" s="8">
        <v>8904.08</v>
      </c>
      <c r="E151" s="3"/>
      <c r="F151" s="7">
        <f t="shared" si="28"/>
        <v>4.0385425531608982E-3</v>
      </c>
      <c r="G151" s="3"/>
      <c r="H151" s="8">
        <v>16900</v>
      </c>
      <c r="I151" s="3"/>
      <c r="J151" s="7">
        <f t="shared" si="29"/>
        <v>9.9633302283901846E-3</v>
      </c>
      <c r="K151" s="3"/>
      <c r="L151" s="8">
        <f t="shared" si="30"/>
        <v>-7995.92</v>
      </c>
      <c r="M151" s="3"/>
      <c r="N151" s="7">
        <f t="shared" si="31"/>
        <v>-0.47313136094674557</v>
      </c>
      <c r="O151" s="12"/>
      <c r="P151" s="8">
        <v>195348.76</v>
      </c>
      <c r="Q151" s="3"/>
      <c r="R151" s="7">
        <f t="shared" si="32"/>
        <v>8.1176973068076089E-3</v>
      </c>
      <c r="S151" s="3"/>
      <c r="T151" s="8">
        <v>191683</v>
      </c>
      <c r="U151" s="3"/>
      <c r="V151" s="7">
        <f t="shared" si="33"/>
        <v>8.4232430586563267E-3</v>
      </c>
      <c r="W151" s="3"/>
      <c r="X151" s="8">
        <f t="shared" si="34"/>
        <v>3665.7600000000093</v>
      </c>
      <c r="Y151" s="3"/>
      <c r="Z151" s="7">
        <f t="shared" si="35"/>
        <v>1.9124074644073858E-2</v>
      </c>
    </row>
    <row r="152" spans="1:26" s="70" customFormat="1" ht="15" hidden="1" customHeight="1" outlineLevel="2" x14ac:dyDescent="0.25">
      <c r="A152" s="25"/>
      <c r="B152" s="12" t="str">
        <f>CONCATENATE("          ","6244"," - ","SAFETY SUPPLY EXPENSE")</f>
        <v xml:space="preserve">          6244 - SAFETY SUPPLY EXPENSE</v>
      </c>
      <c r="C152" s="12"/>
      <c r="D152" s="8"/>
      <c r="E152" s="3"/>
      <c r="F152" s="7">
        <f t="shared" si="28"/>
        <v>0</v>
      </c>
      <c r="G152" s="3"/>
      <c r="H152" s="8">
        <v>525</v>
      </c>
      <c r="I152" s="3"/>
      <c r="J152" s="7">
        <f t="shared" si="29"/>
        <v>3.0951173786419216E-4</v>
      </c>
      <c r="K152" s="3"/>
      <c r="L152" s="8">
        <f t="shared" si="30"/>
        <v>-525</v>
      </c>
      <c r="M152" s="3"/>
      <c r="N152" s="7">
        <f t="shared" si="31"/>
        <v>-1</v>
      </c>
      <c r="O152" s="12"/>
      <c r="P152" s="8"/>
      <c r="Q152" s="3"/>
      <c r="R152" s="7">
        <f t="shared" si="32"/>
        <v>0</v>
      </c>
      <c r="S152" s="3"/>
      <c r="T152" s="8">
        <v>5925</v>
      </c>
      <c r="U152" s="3"/>
      <c r="V152" s="7">
        <f t="shared" si="33"/>
        <v>2.6036589119816955E-4</v>
      </c>
      <c r="W152" s="3"/>
      <c r="X152" s="8">
        <f t="shared" si="34"/>
        <v>-5925</v>
      </c>
      <c r="Y152" s="3"/>
      <c r="Z152" s="7">
        <f t="shared" si="35"/>
        <v>-1</v>
      </c>
    </row>
    <row r="153" spans="1:26" s="70" customFormat="1" ht="15" hidden="1" customHeight="1" outlineLevel="2" x14ac:dyDescent="0.25">
      <c r="A153" s="25"/>
      <c r="B153" s="12" t="str">
        <f>CONCATENATE("          ","6245"," - ","PRINTING")</f>
        <v xml:space="preserve">          6245 - PRINTING</v>
      </c>
      <c r="C153" s="12"/>
      <c r="D153" s="8">
        <v>4762.72</v>
      </c>
      <c r="E153" s="3"/>
      <c r="F153" s="7">
        <f t="shared" si="28"/>
        <v>2.1601835775049722E-3</v>
      </c>
      <c r="G153" s="3"/>
      <c r="H153" s="8">
        <v>2400</v>
      </c>
      <c r="I153" s="3"/>
      <c r="J153" s="7">
        <f t="shared" si="29"/>
        <v>1.4149108016648783E-3</v>
      </c>
      <c r="K153" s="3"/>
      <c r="L153" s="8">
        <f t="shared" si="30"/>
        <v>2362.7200000000003</v>
      </c>
      <c r="M153" s="3"/>
      <c r="N153" s="7">
        <f t="shared" si="31"/>
        <v>0.98446666666666682</v>
      </c>
      <c r="O153" s="12"/>
      <c r="P153" s="8">
        <v>12774.4</v>
      </c>
      <c r="Q153" s="3"/>
      <c r="R153" s="7">
        <f t="shared" si="32"/>
        <v>5.308388570067356E-4</v>
      </c>
      <c r="S153" s="3"/>
      <c r="T153" s="8">
        <v>12245</v>
      </c>
      <c r="U153" s="3"/>
      <c r="V153" s="7">
        <f t="shared" si="33"/>
        <v>5.3808950847621703E-4</v>
      </c>
      <c r="W153" s="3"/>
      <c r="X153" s="8">
        <f t="shared" si="34"/>
        <v>529.39999999999964</v>
      </c>
      <c r="Y153" s="3"/>
      <c r="Z153" s="7">
        <f t="shared" si="35"/>
        <v>4.3233973050224549E-2</v>
      </c>
    </row>
    <row r="154" spans="1:26" s="70" customFormat="1" ht="15" hidden="1" customHeight="1" outlineLevel="2" x14ac:dyDescent="0.25">
      <c r="A154" s="25"/>
      <c r="B154" s="12" t="str">
        <f>CONCATENATE("          ","6247"," - ","STORE SUPPLIES")</f>
        <v xml:space="preserve">          6247 - STORE SUPPLIES</v>
      </c>
      <c r="C154" s="12"/>
      <c r="D154" s="8">
        <v>10248.08</v>
      </c>
      <c r="E154" s="3"/>
      <c r="F154" s="7">
        <f t="shared" si="28"/>
        <v>4.6481284049780698E-3</v>
      </c>
      <c r="G154" s="3"/>
      <c r="H154" s="8">
        <v>7525</v>
      </c>
      <c r="I154" s="3"/>
      <c r="J154" s="7">
        <f t="shared" si="29"/>
        <v>4.4363349093867544E-3</v>
      </c>
      <c r="K154" s="3"/>
      <c r="L154" s="8">
        <f t="shared" si="30"/>
        <v>2723.08</v>
      </c>
      <c r="M154" s="3"/>
      <c r="N154" s="7">
        <f t="shared" si="31"/>
        <v>0.36187109634551495</v>
      </c>
      <c r="O154" s="12"/>
      <c r="P154" s="8">
        <v>65473.919999999998</v>
      </c>
      <c r="Q154" s="3"/>
      <c r="R154" s="7">
        <f t="shared" si="32"/>
        <v>2.7207619032244526E-3</v>
      </c>
      <c r="S154" s="3"/>
      <c r="T154" s="8">
        <v>83841</v>
      </c>
      <c r="U154" s="3"/>
      <c r="V154" s="7">
        <f t="shared" si="33"/>
        <v>3.6842762335773391E-3</v>
      </c>
      <c r="W154" s="3"/>
      <c r="X154" s="8">
        <f t="shared" si="34"/>
        <v>-18367.080000000002</v>
      </c>
      <c r="Y154" s="3"/>
      <c r="Z154" s="7">
        <f t="shared" si="35"/>
        <v>-0.21907038322539094</v>
      </c>
    </row>
    <row r="155" spans="1:26" s="70" customFormat="1" ht="15" hidden="1" customHeight="1" outlineLevel="2" x14ac:dyDescent="0.25">
      <c r="A155" s="25"/>
      <c r="B155" s="12" t="str">
        <f>CONCATENATE("          ","6248"," - ","UNIFORMS")</f>
        <v xml:space="preserve">          6248 - UNIFORMS</v>
      </c>
      <c r="C155" s="12"/>
      <c r="D155" s="8"/>
      <c r="E155" s="3"/>
      <c r="F155" s="7">
        <f t="shared" si="28"/>
        <v>0</v>
      </c>
      <c r="G155" s="3"/>
      <c r="H155" s="8">
        <v>588</v>
      </c>
      <c r="I155" s="3"/>
      <c r="J155" s="7">
        <f t="shared" si="29"/>
        <v>3.4665314640789518E-4</v>
      </c>
      <c r="K155" s="3"/>
      <c r="L155" s="8">
        <f t="shared" si="30"/>
        <v>-588</v>
      </c>
      <c r="M155" s="3"/>
      <c r="N155" s="7">
        <f t="shared" si="31"/>
        <v>-1</v>
      </c>
      <c r="O155" s="12"/>
      <c r="P155" s="8">
        <v>9531.84</v>
      </c>
      <c r="Q155" s="3"/>
      <c r="R155" s="7">
        <f t="shared" si="32"/>
        <v>3.9609461507163413E-4</v>
      </c>
      <c r="S155" s="3"/>
      <c r="T155" s="8">
        <v>10318</v>
      </c>
      <c r="U155" s="3"/>
      <c r="V155" s="7">
        <f t="shared" si="33"/>
        <v>4.5341017137260985E-4</v>
      </c>
      <c r="W155" s="3"/>
      <c r="X155" s="8">
        <f t="shared" si="34"/>
        <v>-786.15999999999985</v>
      </c>
      <c r="Y155" s="3"/>
      <c r="Z155" s="7">
        <f t="shared" si="35"/>
        <v>-7.6193060670672594E-2</v>
      </c>
    </row>
    <row r="156" spans="1:26" s="69" customFormat="1" ht="15" customHeight="1" outlineLevel="1" collapsed="1" x14ac:dyDescent="0.25">
      <c r="A156" s="26"/>
      <c r="B156" s="14" t="str">
        <f>CONCATENATE("     ","Telephone/Data Lines                              ")</f>
        <v xml:space="preserve">     Telephone/Data Lines                              </v>
      </c>
      <c r="C156" s="14"/>
      <c r="D156" s="2">
        <f>SUM(OSRRefD22_23x_0)</f>
        <v>3440.79</v>
      </c>
      <c r="E156" s="2"/>
      <c r="F156" s="6">
        <f t="shared" si="28"/>
        <v>1.5606078147872083E-3</v>
      </c>
      <c r="G156" s="2"/>
      <c r="H156" s="2">
        <f>SUM(OSRRefH22_23x_0)</f>
        <v>3699</v>
      </c>
      <c r="I156" s="2"/>
      <c r="J156" s="6">
        <f t="shared" si="29"/>
        <v>2.1807312730659939E-3</v>
      </c>
      <c r="K156" s="2"/>
      <c r="L156" s="2">
        <f t="shared" si="30"/>
        <v>-258.21000000000004</v>
      </c>
      <c r="M156" s="2"/>
      <c r="N156" s="6">
        <f t="shared" si="31"/>
        <v>-6.9805352798053541E-2</v>
      </c>
      <c r="O156" s="14"/>
      <c r="P156" s="2">
        <f>SUM(OSRRefP22_23x_0)</f>
        <v>40522.44</v>
      </c>
      <c r="Q156" s="2"/>
      <c r="R156" s="6">
        <f t="shared" si="32"/>
        <v>1.6839057593878402E-3</v>
      </c>
      <c r="S156" s="2"/>
      <c r="T156" s="2">
        <f>SUM(OSRRefT22_23x_0)</f>
        <v>40239</v>
      </c>
      <c r="U156" s="2"/>
      <c r="V156" s="6">
        <f t="shared" si="33"/>
        <v>1.7682469360207839E-3</v>
      </c>
      <c r="W156" s="2"/>
      <c r="X156" s="2">
        <f t="shared" si="34"/>
        <v>283.44000000000233</v>
      </c>
      <c r="Y156" s="2"/>
      <c r="Z156" s="6">
        <f t="shared" si="35"/>
        <v>7.0439126220831118E-3</v>
      </c>
    </row>
    <row r="157" spans="1:26" s="70" customFormat="1" ht="15" hidden="1" customHeight="1" outlineLevel="2" x14ac:dyDescent="0.25">
      <c r="A157" s="25"/>
      <c r="B157" s="12" t="str">
        <f>CONCATENATE("          ","6303"," - ","DATA PHONE LINES")</f>
        <v xml:space="preserve">          6303 - DATA PHONE LINES</v>
      </c>
      <c r="C157" s="12"/>
      <c r="D157" s="8"/>
      <c r="E157" s="3"/>
      <c r="F157" s="7">
        <f t="shared" si="28"/>
        <v>0</v>
      </c>
      <c r="G157" s="3"/>
      <c r="H157" s="8">
        <v>243</v>
      </c>
      <c r="I157" s="3"/>
      <c r="J157" s="7">
        <f t="shared" si="29"/>
        <v>1.4325971866856893E-4</v>
      </c>
      <c r="K157" s="3"/>
      <c r="L157" s="8">
        <f t="shared" si="30"/>
        <v>-243</v>
      </c>
      <c r="M157" s="3"/>
      <c r="N157" s="7">
        <f t="shared" si="31"/>
        <v>-1</v>
      </c>
      <c r="O157" s="12"/>
      <c r="P157" s="8">
        <v>295</v>
      </c>
      <c r="Q157" s="3"/>
      <c r="R157" s="7">
        <f t="shared" si="32"/>
        <v>1.2258694170918948E-5</v>
      </c>
      <c r="S157" s="3"/>
      <c r="T157" s="8">
        <v>2673</v>
      </c>
      <c r="U157" s="3"/>
      <c r="V157" s="7">
        <f t="shared" si="33"/>
        <v>1.1746127040889573E-4</v>
      </c>
      <c r="W157" s="3"/>
      <c r="X157" s="8">
        <f t="shared" si="34"/>
        <v>-2378</v>
      </c>
      <c r="Y157" s="3"/>
      <c r="Z157" s="7">
        <f t="shared" si="35"/>
        <v>-0.88963711185933403</v>
      </c>
    </row>
    <row r="158" spans="1:26" s="70" customFormat="1" ht="15" hidden="1" customHeight="1" outlineLevel="2" x14ac:dyDescent="0.25">
      <c r="A158" s="25"/>
      <c r="B158" s="12" t="str">
        <f>CONCATENATE("          ","6309"," - ","TELEPHONE")</f>
        <v xml:space="preserve">          6309 - TELEPHONE</v>
      </c>
      <c r="C158" s="12"/>
      <c r="D158" s="8">
        <v>3440.79</v>
      </c>
      <c r="E158" s="3"/>
      <c r="F158" s="7">
        <f t="shared" si="28"/>
        <v>1.5606078147872083E-3</v>
      </c>
      <c r="G158" s="3"/>
      <c r="H158" s="8">
        <v>3456</v>
      </c>
      <c r="I158" s="3"/>
      <c r="J158" s="7">
        <f t="shared" si="29"/>
        <v>2.037471554397425E-3</v>
      </c>
      <c r="K158" s="3"/>
      <c r="L158" s="8">
        <f t="shared" si="30"/>
        <v>-15.210000000000036</v>
      </c>
      <c r="M158" s="3"/>
      <c r="N158" s="7">
        <f t="shared" si="31"/>
        <v>-4.4010416666666772E-3</v>
      </c>
      <c r="O158" s="12"/>
      <c r="P158" s="8">
        <v>40227.440000000002</v>
      </c>
      <c r="Q158" s="3"/>
      <c r="R158" s="7">
        <f t="shared" si="32"/>
        <v>1.6716470652169213E-3</v>
      </c>
      <c r="S158" s="3"/>
      <c r="T158" s="8">
        <v>37566</v>
      </c>
      <c r="U158" s="3"/>
      <c r="V158" s="7">
        <f t="shared" si="33"/>
        <v>1.6507856656118882E-3</v>
      </c>
      <c r="W158" s="3"/>
      <c r="X158" s="8">
        <f t="shared" si="34"/>
        <v>2661.4400000000023</v>
      </c>
      <c r="Y158" s="3"/>
      <c r="Z158" s="7">
        <f t="shared" si="35"/>
        <v>7.0847042538465702E-2</v>
      </c>
    </row>
    <row r="159" spans="1:26" s="69" customFormat="1" ht="15" customHeight="1" outlineLevel="1" collapsed="1" x14ac:dyDescent="0.25">
      <c r="A159" s="26"/>
      <c r="B159" s="14" t="str">
        <f>CONCATENATE("     ","Training                                          ")</f>
        <v xml:space="preserve">     Training                                          </v>
      </c>
      <c r="C159" s="14"/>
      <c r="D159" s="2">
        <f>SUM(OSRRefD22_24x_0)</f>
        <v>13740.38</v>
      </c>
      <c r="E159" s="2"/>
      <c r="F159" s="6">
        <f t="shared" si="28"/>
        <v>6.2320991418092532E-3</v>
      </c>
      <c r="G159" s="2"/>
      <c r="H159" s="2">
        <f>SUM(OSRRefH22_24x_0)</f>
        <v>615</v>
      </c>
      <c r="I159" s="2"/>
      <c r="J159" s="6">
        <f t="shared" si="29"/>
        <v>3.625708929266251E-4</v>
      </c>
      <c r="K159" s="2"/>
      <c r="L159" s="2">
        <f t="shared" si="30"/>
        <v>13125.38</v>
      </c>
      <c r="M159" s="2"/>
      <c r="N159" s="6">
        <f t="shared" si="31"/>
        <v>21.342081300813007</v>
      </c>
      <c r="O159" s="14"/>
      <c r="P159" s="2">
        <f>SUM(OSRRefP22_24x_0)</f>
        <v>26570.3</v>
      </c>
      <c r="Q159" s="2"/>
      <c r="R159" s="6">
        <f t="shared" si="32"/>
        <v>1.1041260397612466E-3</v>
      </c>
      <c r="S159" s="2"/>
      <c r="T159" s="2">
        <f>SUM(OSRRefT22_24x_0)</f>
        <v>19795</v>
      </c>
      <c r="U159" s="2"/>
      <c r="V159" s="6">
        <f t="shared" si="33"/>
        <v>8.6986376645869471E-4</v>
      </c>
      <c r="W159" s="2"/>
      <c r="X159" s="2">
        <f t="shared" si="34"/>
        <v>6775.2999999999993</v>
      </c>
      <c r="Y159" s="2"/>
      <c r="Z159" s="6">
        <f t="shared" si="35"/>
        <v>0.34227330133872186</v>
      </c>
    </row>
    <row r="160" spans="1:26" s="70" customFormat="1" ht="15" hidden="1" customHeight="1" outlineLevel="2" x14ac:dyDescent="0.25">
      <c r="A160" s="25"/>
      <c r="B160" s="12" t="str">
        <f>CONCATENATE("          ","6376"," - ","TRAINING")</f>
        <v xml:space="preserve">          6376 - TRAINING</v>
      </c>
      <c r="C160" s="12"/>
      <c r="D160" s="8">
        <v>13740.38</v>
      </c>
      <c r="E160" s="3"/>
      <c r="F160" s="7">
        <f t="shared" si="28"/>
        <v>6.2320991418092532E-3</v>
      </c>
      <c r="G160" s="3"/>
      <c r="H160" s="8">
        <v>615</v>
      </c>
      <c r="I160" s="3"/>
      <c r="J160" s="7">
        <f t="shared" si="29"/>
        <v>3.625708929266251E-4</v>
      </c>
      <c r="K160" s="3"/>
      <c r="L160" s="8">
        <f t="shared" si="30"/>
        <v>13125.38</v>
      </c>
      <c r="M160" s="3"/>
      <c r="N160" s="7">
        <f t="shared" si="31"/>
        <v>21.342081300813007</v>
      </c>
      <c r="O160" s="12"/>
      <c r="P160" s="8">
        <v>26570.3</v>
      </c>
      <c r="Q160" s="3"/>
      <c r="R160" s="7">
        <f t="shared" si="32"/>
        <v>1.1041260397612466E-3</v>
      </c>
      <c r="S160" s="3"/>
      <c r="T160" s="8">
        <v>19795</v>
      </c>
      <c r="U160" s="3"/>
      <c r="V160" s="7">
        <f t="shared" si="33"/>
        <v>8.6986376645869471E-4</v>
      </c>
      <c r="W160" s="3"/>
      <c r="X160" s="8">
        <f t="shared" si="34"/>
        <v>6775.2999999999993</v>
      </c>
      <c r="Y160" s="3"/>
      <c r="Z160" s="7">
        <f t="shared" si="35"/>
        <v>0.34227330133872186</v>
      </c>
    </row>
    <row r="161" spans="1:26" s="69" customFormat="1" ht="15" customHeight="1" outlineLevel="1" collapsed="1" x14ac:dyDescent="0.25">
      <c r="A161" s="26"/>
      <c r="B161" s="14" t="str">
        <f>CONCATENATE("     ","Travel                                            ")</f>
        <v xml:space="preserve">     Travel                                            </v>
      </c>
      <c r="C161" s="14"/>
      <c r="D161" s="2">
        <f>SUM(OSRRefD22_25x_0)</f>
        <v>456.64</v>
      </c>
      <c r="E161" s="2"/>
      <c r="F161" s="6">
        <f t="shared" si="28"/>
        <v>2.0711405012931066E-4</v>
      </c>
      <c r="G161" s="2"/>
      <c r="H161" s="2">
        <f>SUM(OSRRefH22_25x_0)</f>
        <v>175</v>
      </c>
      <c r="I161" s="2"/>
      <c r="J161" s="6">
        <f t="shared" si="29"/>
        <v>1.0317057928806405E-4</v>
      </c>
      <c r="K161" s="2"/>
      <c r="L161" s="2">
        <f t="shared" si="30"/>
        <v>281.64</v>
      </c>
      <c r="M161" s="2"/>
      <c r="N161" s="6">
        <f t="shared" si="31"/>
        <v>1.6093714285714285</v>
      </c>
      <c r="O161" s="14"/>
      <c r="P161" s="2">
        <f>SUM(OSRRefP22_25x_0)</f>
        <v>2716.9</v>
      </c>
      <c r="Q161" s="2"/>
      <c r="R161" s="6">
        <f t="shared" si="32"/>
        <v>1.129004955693888E-4</v>
      </c>
      <c r="S161" s="2"/>
      <c r="T161" s="2">
        <f>SUM(OSRRefT22_25x_0)</f>
        <v>3375</v>
      </c>
      <c r="U161" s="2"/>
      <c r="V161" s="6">
        <f t="shared" si="33"/>
        <v>1.4830968485971682E-4</v>
      </c>
      <c r="W161" s="2"/>
      <c r="X161" s="2">
        <f t="shared" si="34"/>
        <v>-658.09999999999991</v>
      </c>
      <c r="Y161" s="2"/>
      <c r="Z161" s="6">
        <f t="shared" si="35"/>
        <v>-0.19499259259259258</v>
      </c>
    </row>
    <row r="162" spans="1:26" s="70" customFormat="1" ht="15" hidden="1" customHeight="1" outlineLevel="2" x14ac:dyDescent="0.25">
      <c r="A162" s="25"/>
      <c r="B162" s="12" t="str">
        <f>CONCATENATE("          ","6292"," - ","TRAVEL/CONFERENCE")</f>
        <v xml:space="preserve">          6292 - TRAVEL/CONFERENCE</v>
      </c>
      <c r="C162" s="12"/>
      <c r="D162" s="8">
        <v>15</v>
      </c>
      <c r="E162" s="3"/>
      <c r="F162" s="7">
        <f t="shared" si="28"/>
        <v>6.8034135247452258E-6</v>
      </c>
      <c r="G162" s="3"/>
      <c r="H162" s="8">
        <v>125</v>
      </c>
      <c r="I162" s="3"/>
      <c r="J162" s="7">
        <f t="shared" si="29"/>
        <v>7.3693270920045743E-5</v>
      </c>
      <c r="K162" s="3"/>
      <c r="L162" s="8">
        <f t="shared" si="30"/>
        <v>-110</v>
      </c>
      <c r="M162" s="3"/>
      <c r="N162" s="7">
        <f t="shared" si="31"/>
        <v>-0.88</v>
      </c>
      <c r="O162" s="12"/>
      <c r="P162" s="8">
        <v>1123.5899999999999</v>
      </c>
      <c r="Q162" s="3"/>
      <c r="R162" s="7">
        <f t="shared" si="32"/>
        <v>4.6690665028823123E-5</v>
      </c>
      <c r="S162" s="3"/>
      <c r="T162" s="8">
        <v>2575</v>
      </c>
      <c r="U162" s="3"/>
      <c r="V162" s="7">
        <f t="shared" si="33"/>
        <v>1.1315479659667284E-4</v>
      </c>
      <c r="W162" s="3"/>
      <c r="X162" s="8">
        <f t="shared" si="34"/>
        <v>-1451.41</v>
      </c>
      <c r="Y162" s="3"/>
      <c r="Z162" s="7">
        <f t="shared" si="35"/>
        <v>-0.56365436893203891</v>
      </c>
    </row>
    <row r="163" spans="1:26" s="70" customFormat="1" ht="15" hidden="1" customHeight="1" outlineLevel="2" x14ac:dyDescent="0.25">
      <c r="A163" s="25"/>
      <c r="B163" s="12" t="str">
        <f>CONCATENATE("          ","6294"," - ","TRAVEL OPERATIONAL")</f>
        <v xml:space="preserve">          6294 - TRAVEL OPERATIONAL</v>
      </c>
      <c r="C163" s="12"/>
      <c r="D163" s="8">
        <v>207.39</v>
      </c>
      <c r="E163" s="3"/>
      <c r="F163" s="7">
        <f t="shared" si="28"/>
        <v>9.4063995393127485E-5</v>
      </c>
      <c r="G163" s="3"/>
      <c r="H163" s="8">
        <v>25</v>
      </c>
      <c r="I163" s="3"/>
      <c r="J163" s="7">
        <f t="shared" si="29"/>
        <v>1.473865418400915E-5</v>
      </c>
      <c r="K163" s="3"/>
      <c r="L163" s="8">
        <f t="shared" si="30"/>
        <v>182.39</v>
      </c>
      <c r="M163" s="3"/>
      <c r="N163" s="7">
        <f t="shared" si="31"/>
        <v>7.2955999999999994</v>
      </c>
      <c r="O163" s="12"/>
      <c r="P163" s="8">
        <v>610.87</v>
      </c>
      <c r="Q163" s="3"/>
      <c r="R163" s="7">
        <f t="shared" si="32"/>
        <v>2.5384639010811045E-5</v>
      </c>
      <c r="S163" s="3"/>
      <c r="T163" s="8">
        <v>275</v>
      </c>
      <c r="U163" s="3"/>
      <c r="V163" s="7">
        <f t="shared" si="33"/>
        <v>1.2084492840421371E-5</v>
      </c>
      <c r="W163" s="3"/>
      <c r="X163" s="8">
        <f t="shared" si="34"/>
        <v>335.87</v>
      </c>
      <c r="Y163" s="3"/>
      <c r="Z163" s="7">
        <f t="shared" si="35"/>
        <v>1.2213454545454545</v>
      </c>
    </row>
    <row r="164" spans="1:26" s="70" customFormat="1" ht="15" hidden="1" customHeight="1" outlineLevel="2" x14ac:dyDescent="0.25">
      <c r="A164" s="25"/>
      <c r="B164" s="12" t="str">
        <f>CONCATENATE("          ","6298"," - ","VEHICLE MILEAGE")</f>
        <v xml:space="preserve">          6298 - VEHICLE MILEAGE</v>
      </c>
      <c r="C164" s="12"/>
      <c r="D164" s="8">
        <v>234.25</v>
      </c>
      <c r="E164" s="3"/>
      <c r="F164" s="7">
        <f t="shared" si="28"/>
        <v>1.0624664121143795E-4</v>
      </c>
      <c r="G164" s="3"/>
      <c r="H164" s="8">
        <v>25</v>
      </c>
      <c r="I164" s="3"/>
      <c r="J164" s="7">
        <f t="shared" si="29"/>
        <v>1.473865418400915E-5</v>
      </c>
      <c r="K164" s="3"/>
      <c r="L164" s="8">
        <f t="shared" si="30"/>
        <v>209.25</v>
      </c>
      <c r="M164" s="3"/>
      <c r="N164" s="7">
        <f t="shared" si="31"/>
        <v>8.3699999999999992</v>
      </c>
      <c r="O164" s="12"/>
      <c r="P164" s="8">
        <v>982.44</v>
      </c>
      <c r="Q164" s="3"/>
      <c r="R164" s="7">
        <f t="shared" si="32"/>
        <v>4.0825191529754618E-5</v>
      </c>
      <c r="S164" s="3"/>
      <c r="T164" s="8">
        <v>525</v>
      </c>
      <c r="U164" s="3"/>
      <c r="V164" s="7">
        <f t="shared" si="33"/>
        <v>2.3070395422622618E-5</v>
      </c>
      <c r="W164" s="3"/>
      <c r="X164" s="8">
        <f t="shared" si="34"/>
        <v>457.44000000000005</v>
      </c>
      <c r="Y164" s="3"/>
      <c r="Z164" s="7">
        <f t="shared" si="35"/>
        <v>0.87131428571428582</v>
      </c>
    </row>
    <row r="165" spans="1:26" s="69" customFormat="1" ht="15" customHeight="1" outlineLevel="1" collapsed="1" x14ac:dyDescent="0.25">
      <c r="A165" s="26"/>
      <c r="B165" s="14" t="str">
        <f>CONCATENATE("     ","Utilities                                         ")</f>
        <v xml:space="preserve">     Utilities                                         </v>
      </c>
      <c r="C165" s="14"/>
      <c r="D165" s="2">
        <f>SUM(OSRRefD22_26x_0)</f>
        <v>59120.33</v>
      </c>
      <c r="E165" s="2"/>
      <c r="F165" s="6">
        <f t="shared" si="28"/>
        <v>2.6814670180626728E-2</v>
      </c>
      <c r="G165" s="2"/>
      <c r="H165" s="2">
        <f>SUM(OSRRefH22_26x_0)</f>
        <v>14787</v>
      </c>
      <c r="I165" s="2"/>
      <c r="J165" s="6">
        <f t="shared" si="29"/>
        <v>8.7176191767577311E-3</v>
      </c>
      <c r="K165" s="2"/>
      <c r="L165" s="2">
        <f t="shared" si="30"/>
        <v>44333.33</v>
      </c>
      <c r="M165" s="2"/>
      <c r="N165" s="6">
        <f t="shared" si="31"/>
        <v>2.9981287617501859</v>
      </c>
      <c r="O165" s="14"/>
      <c r="P165" s="2">
        <f>SUM(OSRRefP22_26x_0)</f>
        <v>194507.55</v>
      </c>
      <c r="Q165" s="2"/>
      <c r="R165" s="6">
        <f t="shared" si="32"/>
        <v>8.0827409131685631E-3</v>
      </c>
      <c r="S165" s="2"/>
      <c r="T165" s="2">
        <f>SUM(OSRRefT22_26x_0)</f>
        <v>165337</v>
      </c>
      <c r="U165" s="2"/>
      <c r="V165" s="6">
        <f t="shared" si="33"/>
        <v>7.2655047009336305E-3</v>
      </c>
      <c r="W165" s="2"/>
      <c r="X165" s="2">
        <f t="shared" si="34"/>
        <v>29170.549999999988</v>
      </c>
      <c r="Y165" s="2"/>
      <c r="Z165" s="6">
        <f t="shared" si="35"/>
        <v>0.17643086544451628</v>
      </c>
    </row>
    <row r="166" spans="1:26" s="70" customFormat="1" ht="15" hidden="1" customHeight="1" outlineLevel="2" x14ac:dyDescent="0.25">
      <c r="A166" s="25"/>
      <c r="B166" s="12" t="str">
        <f>CONCATENATE("          ","6274"," - ","UTILITIES")</f>
        <v xml:space="preserve">          6274 - UTILITIES</v>
      </c>
      <c r="C166" s="12"/>
      <c r="D166" s="8">
        <v>59120.33</v>
      </c>
      <c r="E166" s="3"/>
      <c r="F166" s="7">
        <f t="shared" si="28"/>
        <v>2.6814670180626728E-2</v>
      </c>
      <c r="G166" s="3"/>
      <c r="H166" s="8">
        <v>14787</v>
      </c>
      <c r="I166" s="3"/>
      <c r="J166" s="7">
        <f t="shared" si="29"/>
        <v>8.7176191767577311E-3</v>
      </c>
      <c r="K166" s="3"/>
      <c r="L166" s="8">
        <f t="shared" si="30"/>
        <v>44333.33</v>
      </c>
      <c r="M166" s="3"/>
      <c r="N166" s="7">
        <f t="shared" si="31"/>
        <v>2.9981287617501859</v>
      </c>
      <c r="O166" s="12"/>
      <c r="P166" s="8">
        <v>194507.55</v>
      </c>
      <c r="Q166" s="3"/>
      <c r="R166" s="7">
        <f t="shared" si="32"/>
        <v>8.0827409131685631E-3</v>
      </c>
      <c r="S166" s="3"/>
      <c r="T166" s="8">
        <v>165337</v>
      </c>
      <c r="U166" s="3"/>
      <c r="V166" s="7">
        <f t="shared" si="33"/>
        <v>7.2655047009336305E-3</v>
      </c>
      <c r="W166" s="3"/>
      <c r="X166" s="8">
        <f t="shared" si="34"/>
        <v>29170.549999999988</v>
      </c>
      <c r="Y166" s="3"/>
      <c r="Z166" s="7">
        <f t="shared" si="35"/>
        <v>0.17643086544451628</v>
      </c>
    </row>
    <row r="167" spans="1:26" s="65" customFormat="1" ht="15" customHeight="1" x14ac:dyDescent="0.25">
      <c r="A167" s="35"/>
      <c r="B167" s="35"/>
      <c r="C167" s="35"/>
      <c r="D167" s="2"/>
      <c r="E167" s="2"/>
      <c r="F167" s="6"/>
      <c r="G167" s="2"/>
      <c r="H167" s="2"/>
      <c r="I167" s="2"/>
      <c r="J167" s="6"/>
      <c r="K167" s="2"/>
      <c r="L167" s="2"/>
      <c r="M167" s="2"/>
      <c r="N167" s="6"/>
      <c r="O167" s="35"/>
      <c r="P167" s="2"/>
      <c r="Q167" s="2"/>
      <c r="R167" s="6"/>
      <c r="S167" s="2"/>
      <c r="T167" s="2"/>
      <c r="U167" s="2"/>
      <c r="V167" s="6"/>
      <c r="W167" s="2"/>
      <c r="X167" s="2"/>
      <c r="Y167" s="2"/>
      <c r="Z167" s="6"/>
    </row>
    <row r="168" spans="1:26" s="63" customFormat="1" ht="15" customHeight="1" collapsed="1" x14ac:dyDescent="0.25">
      <c r="A168" s="11"/>
      <c r="B168" s="27" t="s">
        <v>291</v>
      </c>
      <c r="C168" s="11"/>
      <c r="D168" s="5">
        <f>SUM(OSRRefD25x_0)</f>
        <v>473367.29</v>
      </c>
      <c r="E168" s="5"/>
      <c r="F168" s="13">
        <f t="shared" ref="F168:F176" si="36">IF(D$12=0,0,D168/D$12)</f>
        <v>0.21470089486386634</v>
      </c>
      <c r="G168" s="5"/>
      <c r="H168" s="5">
        <f>SUM(OSRRefH25x_0)</f>
        <v>335103.49</v>
      </c>
      <c r="I168" s="5"/>
      <c r="J168" s="13">
        <f t="shared" ref="J168:J176" si="37">IF(H$12=0,0,H168/H$12)</f>
        <v>0.19755897819858273</v>
      </c>
      <c r="K168" s="5"/>
      <c r="L168" s="5">
        <f t="shared" ref="L168:L176" si="38">+D168-H168</f>
        <v>138263.79999999999</v>
      </c>
      <c r="M168" s="5"/>
      <c r="N168" s="13">
        <f t="shared" ref="N168:N176" si="39">IF(H168=0,0,L168/H168)</f>
        <v>0.41260029849286256</v>
      </c>
      <c r="O168" s="11"/>
      <c r="P168" s="5">
        <f>SUM(OSRRefP25x_0)</f>
        <v>1630519.4</v>
      </c>
      <c r="Q168" s="5"/>
      <c r="R168" s="13">
        <f t="shared" ref="R168:R176" si="40">IF(P$12=0,0,P168/P$12)</f>
        <v>6.7756063268983938E-2</v>
      </c>
      <c r="S168" s="5"/>
      <c r="T168" s="5">
        <f>SUM(OSRRefT25x_0)</f>
        <v>1247881.25</v>
      </c>
      <c r="U168" s="5"/>
      <c r="V168" s="13">
        <f t="shared" ref="V168:V176" si="41">IF(T$12=0,0,T168/T$12)</f>
        <v>5.4836407386622078E-2</v>
      </c>
      <c r="W168" s="5"/>
      <c r="X168" s="5">
        <f t="shared" ref="X168:X176" si="42">+P168-T168</f>
        <v>382638.14999999991</v>
      </c>
      <c r="Y168" s="5"/>
      <c r="Z168" s="13">
        <f t="shared" ref="Z168:Z176" si="43">IF(T168=0,0,X168/T168)</f>
        <v>0.30663025828779772</v>
      </c>
    </row>
    <row r="169" spans="1:26" s="70" customFormat="1" ht="15" hidden="1" customHeight="1" outlineLevel="1" x14ac:dyDescent="0.25">
      <c r="A169" s="42"/>
      <c r="B169" s="12" t="str">
        <f>CONCATENATE("          ","4187"," - ","NON-TAXABLE SALES-COMPUTER REP")</f>
        <v xml:space="preserve">          4187 - NON-TAXABLE SALES-COMPUTER REP</v>
      </c>
      <c r="C169" s="12"/>
      <c r="D169" s="3">
        <f>0</f>
        <v>0</v>
      </c>
      <c r="E169" s="3"/>
      <c r="F169" s="20">
        <f t="shared" si="36"/>
        <v>0</v>
      </c>
      <c r="G169" s="3"/>
      <c r="H169" s="3"/>
      <c r="I169" s="3"/>
      <c r="J169" s="20">
        <f t="shared" si="37"/>
        <v>0</v>
      </c>
      <c r="K169" s="3"/>
      <c r="L169" s="3">
        <f t="shared" si="38"/>
        <v>0</v>
      </c>
      <c r="M169" s="3"/>
      <c r="N169" s="20">
        <f t="shared" si="39"/>
        <v>0</v>
      </c>
      <c r="O169" s="12"/>
      <c r="P169" s="3">
        <f>0</f>
        <v>0</v>
      </c>
      <c r="Q169" s="3"/>
      <c r="R169" s="20">
        <f t="shared" si="40"/>
        <v>0</v>
      </c>
      <c r="S169" s="3"/>
      <c r="T169" s="3"/>
      <c r="U169" s="3"/>
      <c r="V169" s="20">
        <f t="shared" si="41"/>
        <v>0</v>
      </c>
      <c r="W169" s="3"/>
      <c r="X169" s="3">
        <f t="shared" si="42"/>
        <v>0</v>
      </c>
      <c r="Y169" s="3"/>
      <c r="Z169" s="20">
        <f t="shared" si="43"/>
        <v>0</v>
      </c>
    </row>
    <row r="170" spans="1:26" s="70" customFormat="1" ht="15" hidden="1" customHeight="1" outlineLevel="1" x14ac:dyDescent="0.25">
      <c r="A170" s="42"/>
      <c r="B170" s="12" t="str">
        <f>CONCATENATE("          ","9087"," - ","")</f>
        <v xml:space="preserve">          9087 - </v>
      </c>
      <c r="C170" s="12"/>
      <c r="D170" s="3">
        <f>-1290.36</f>
        <v>-1290.3599999999999</v>
      </c>
      <c r="E170" s="3"/>
      <c r="F170" s="20">
        <f t="shared" si="36"/>
        <v>-5.8525684505268325E-4</v>
      </c>
      <c r="G170" s="3"/>
      <c r="H170" s="3"/>
      <c r="I170" s="3"/>
      <c r="J170" s="20">
        <f t="shared" si="37"/>
        <v>0</v>
      </c>
      <c r="K170" s="3"/>
      <c r="L170" s="3">
        <f t="shared" si="38"/>
        <v>-1290.3599999999999</v>
      </c>
      <c r="M170" s="3"/>
      <c r="N170" s="20">
        <f t="shared" si="39"/>
        <v>0</v>
      </c>
      <c r="O170" s="12"/>
      <c r="P170" s="3">
        <f>--705.64</f>
        <v>705.64</v>
      </c>
      <c r="Q170" s="3"/>
      <c r="R170" s="20">
        <f t="shared" si="40"/>
        <v>2.9322796456838125E-5</v>
      </c>
      <c r="S170" s="3"/>
      <c r="T170" s="3"/>
      <c r="U170" s="3"/>
      <c r="V170" s="20">
        <f t="shared" si="41"/>
        <v>0</v>
      </c>
      <c r="W170" s="3"/>
      <c r="X170" s="3">
        <f t="shared" si="42"/>
        <v>705.64</v>
      </c>
      <c r="Y170" s="3"/>
      <c r="Z170" s="20">
        <f t="shared" si="43"/>
        <v>0</v>
      </c>
    </row>
    <row r="171" spans="1:26" s="70" customFormat="1" ht="15" hidden="1" customHeight="1" outlineLevel="1" x14ac:dyDescent="0.25">
      <c r="A171" s="42"/>
      <c r="B171" s="12" t="str">
        <f>CONCATENATE("          ","9150"," - ","MISC. INCOME")</f>
        <v xml:space="preserve">          9150 - MISC. INCOME</v>
      </c>
      <c r="C171" s="12"/>
      <c r="D171" s="3">
        <f>--88022.93</f>
        <v>88022.93</v>
      </c>
      <c r="E171" s="3"/>
      <c r="F171" s="20">
        <f t="shared" si="36"/>
        <v>3.9923759496646817E-2</v>
      </c>
      <c r="G171" s="3"/>
      <c r="H171" s="3">
        <v>12983</v>
      </c>
      <c r="I171" s="3"/>
      <c r="J171" s="20">
        <f t="shared" si="37"/>
        <v>7.6540778908396317E-3</v>
      </c>
      <c r="K171" s="3"/>
      <c r="L171" s="3">
        <f t="shared" si="38"/>
        <v>75039.929999999993</v>
      </c>
      <c r="M171" s="3"/>
      <c r="N171" s="20">
        <f t="shared" si="39"/>
        <v>5.779860586921358</v>
      </c>
      <c r="O171" s="12"/>
      <c r="P171" s="3">
        <f>--658709.21</f>
        <v>658709.21</v>
      </c>
      <c r="Q171" s="3"/>
      <c r="R171" s="20">
        <f t="shared" si="40"/>
        <v>2.7372592382907204E-2</v>
      </c>
      <c r="S171" s="3"/>
      <c r="T171" s="3">
        <v>218500</v>
      </c>
      <c r="U171" s="3"/>
      <c r="V171" s="20">
        <f t="shared" si="41"/>
        <v>9.6016788568438899E-3</v>
      </c>
      <c r="W171" s="3"/>
      <c r="X171" s="3">
        <f t="shared" si="42"/>
        <v>440209.20999999996</v>
      </c>
      <c r="Y171" s="3"/>
      <c r="Z171" s="20">
        <f t="shared" si="43"/>
        <v>2.0146874599542333</v>
      </c>
    </row>
    <row r="172" spans="1:26" s="70" customFormat="1" ht="15" hidden="1" customHeight="1" outlineLevel="1" x14ac:dyDescent="0.25">
      <c r="A172" s="42"/>
      <c r="B172" s="12" t="str">
        <f>CONCATENATE("          ","9151"," - ","MISC. INCOME")</f>
        <v xml:space="preserve">          9151 - MISC. INCOME</v>
      </c>
      <c r="C172" s="12"/>
      <c r="D172" s="3">
        <f>--626.04</f>
        <v>626.04</v>
      </c>
      <c r="E172" s="3"/>
      <c r="F172" s="20">
        <f t="shared" si="36"/>
        <v>2.8394726686876672E-4</v>
      </c>
      <c r="G172" s="3"/>
      <c r="H172" s="3">
        <v>307541.98</v>
      </c>
      <c r="I172" s="3"/>
      <c r="J172" s="20">
        <f t="shared" si="37"/>
        <v>0.18131019561141831</v>
      </c>
      <c r="K172" s="3"/>
      <c r="L172" s="3">
        <f t="shared" si="38"/>
        <v>-306915.94</v>
      </c>
      <c r="M172" s="3"/>
      <c r="N172" s="20">
        <f t="shared" si="39"/>
        <v>-0.9979643754650992</v>
      </c>
      <c r="O172" s="12"/>
      <c r="P172" s="3">
        <f>--324387.74</f>
        <v>324387.74</v>
      </c>
      <c r="Q172" s="3"/>
      <c r="R172" s="20">
        <f t="shared" si="40"/>
        <v>1.3479898635442616E-2</v>
      </c>
      <c r="S172" s="3"/>
      <c r="T172" s="3">
        <v>821703.12</v>
      </c>
      <c r="U172" s="3"/>
      <c r="V172" s="20">
        <f t="shared" si="41"/>
        <v>3.6108601711243284E-2</v>
      </c>
      <c r="W172" s="3"/>
      <c r="X172" s="3">
        <f t="shared" si="42"/>
        <v>-497315.38</v>
      </c>
      <c r="Y172" s="3"/>
      <c r="Z172" s="20">
        <f t="shared" si="43"/>
        <v>-0.60522513289227864</v>
      </c>
    </row>
    <row r="173" spans="1:26" s="70" customFormat="1" ht="15" hidden="1" customHeight="1" outlineLevel="1" x14ac:dyDescent="0.25">
      <c r="A173" s="42"/>
      <c r="B173" s="12" t="str">
        <f>CONCATENATE("          ","9152"," - ","MISC. INCOME")</f>
        <v xml:space="preserve">          9152 - MISC. INCOME</v>
      </c>
      <c r="C173" s="12"/>
      <c r="D173" s="3">
        <f>--1358.68</f>
        <v>1358.68</v>
      </c>
      <c r="E173" s="3"/>
      <c r="F173" s="20">
        <f t="shared" si="36"/>
        <v>6.1624412585338962E-4</v>
      </c>
      <c r="G173" s="3"/>
      <c r="H173" s="3"/>
      <c r="I173" s="3"/>
      <c r="J173" s="20">
        <f t="shared" si="37"/>
        <v>0</v>
      </c>
      <c r="K173" s="3"/>
      <c r="L173" s="3">
        <f t="shared" si="38"/>
        <v>1358.68</v>
      </c>
      <c r="M173" s="3"/>
      <c r="N173" s="20">
        <f t="shared" si="39"/>
        <v>0</v>
      </c>
      <c r="O173" s="12"/>
      <c r="P173" s="3">
        <f>--5247.11</f>
        <v>5247.11</v>
      </c>
      <c r="Q173" s="3"/>
      <c r="R173" s="20">
        <f t="shared" si="40"/>
        <v>2.1804310769888314E-4</v>
      </c>
      <c r="S173" s="3"/>
      <c r="T173" s="3"/>
      <c r="U173" s="3"/>
      <c r="V173" s="20">
        <f t="shared" si="41"/>
        <v>0</v>
      </c>
      <c r="W173" s="3"/>
      <c r="X173" s="3">
        <f t="shared" si="42"/>
        <v>5247.11</v>
      </c>
      <c r="Y173" s="3"/>
      <c r="Z173" s="20">
        <f t="shared" si="43"/>
        <v>0</v>
      </c>
    </row>
    <row r="174" spans="1:26" s="70" customFormat="1" ht="15" hidden="1" customHeight="1" outlineLevel="1" x14ac:dyDescent="0.25">
      <c r="A174" s="42"/>
      <c r="B174" s="12" t="str">
        <f>CONCATENATE("          ","9160"," - ","MISC. INCOME")</f>
        <v xml:space="preserve">          9160 - MISC. INCOME</v>
      </c>
      <c r="C174" s="12"/>
      <c r="D174" s="3">
        <f>0</f>
        <v>0</v>
      </c>
      <c r="E174" s="3"/>
      <c r="F174" s="20">
        <f t="shared" si="36"/>
        <v>0</v>
      </c>
      <c r="G174" s="3"/>
      <c r="H174" s="3">
        <v>14578.51</v>
      </c>
      <c r="I174" s="3"/>
      <c r="J174" s="20">
        <f t="shared" si="37"/>
        <v>8.5947046963247686E-3</v>
      </c>
      <c r="K174" s="3"/>
      <c r="L174" s="3">
        <f t="shared" si="38"/>
        <v>-14578.51</v>
      </c>
      <c r="M174" s="3"/>
      <c r="N174" s="20">
        <f t="shared" si="39"/>
        <v>-1</v>
      </c>
      <c r="O174" s="12"/>
      <c r="P174" s="3">
        <f>0</f>
        <v>0</v>
      </c>
      <c r="Q174" s="3"/>
      <c r="R174" s="20">
        <f t="shared" si="40"/>
        <v>0</v>
      </c>
      <c r="S174" s="3"/>
      <c r="T174" s="3">
        <v>207678.13</v>
      </c>
      <c r="U174" s="3"/>
      <c r="V174" s="20">
        <f t="shared" si="41"/>
        <v>9.1261268185349048E-3</v>
      </c>
      <c r="W174" s="3"/>
      <c r="X174" s="3">
        <f t="shared" si="42"/>
        <v>-207678.13</v>
      </c>
      <c r="Y174" s="3"/>
      <c r="Z174" s="20">
        <f t="shared" si="43"/>
        <v>-1</v>
      </c>
    </row>
    <row r="175" spans="1:26" s="70" customFormat="1" ht="15" hidden="1" customHeight="1" outlineLevel="1" x14ac:dyDescent="0.25">
      <c r="A175" s="42"/>
      <c r="B175" s="12" t="str">
        <f>CONCATENATE("          ","9163"," - ","MISC. INCOME")</f>
        <v xml:space="preserve">          9163 - MISC. INCOME</v>
      </c>
      <c r="C175" s="12"/>
      <c r="D175" s="3">
        <f>--384650</f>
        <v>384650</v>
      </c>
      <c r="E175" s="3"/>
      <c r="F175" s="20">
        <f t="shared" si="36"/>
        <v>0.17446220081955008</v>
      </c>
      <c r="G175" s="3"/>
      <c r="H175" s="3"/>
      <c r="I175" s="3"/>
      <c r="J175" s="20">
        <f t="shared" si="37"/>
        <v>0</v>
      </c>
      <c r="K175" s="3"/>
      <c r="L175" s="3">
        <f t="shared" si="38"/>
        <v>384650</v>
      </c>
      <c r="M175" s="3"/>
      <c r="N175" s="20">
        <f t="shared" si="39"/>
        <v>0</v>
      </c>
      <c r="O175" s="12"/>
      <c r="P175" s="3">
        <f>--641469.7</f>
        <v>641469.69999999995</v>
      </c>
      <c r="Q175" s="3"/>
      <c r="R175" s="20">
        <f t="shared" si="40"/>
        <v>2.6656206346478393E-2</v>
      </c>
      <c r="S175" s="3"/>
      <c r="T175" s="3"/>
      <c r="U175" s="3"/>
      <c r="V175" s="20">
        <f t="shared" si="41"/>
        <v>0</v>
      </c>
      <c r="W175" s="3"/>
      <c r="X175" s="3">
        <f t="shared" si="42"/>
        <v>641469.69999999995</v>
      </c>
      <c r="Y175" s="3"/>
      <c r="Z175" s="20">
        <f t="shared" si="43"/>
        <v>0</v>
      </c>
    </row>
    <row r="176" spans="1:26" s="70" customFormat="1" ht="15" hidden="1" customHeight="1" outlineLevel="1" x14ac:dyDescent="0.25">
      <c r="A176" s="42"/>
      <c r="B176" s="12" t="str">
        <f>CONCATENATE("          ","9165"," - ","OTHER INCOME")</f>
        <v xml:space="preserve">          9165 - OTHER INCOME</v>
      </c>
      <c r="C176" s="12"/>
      <c r="D176" s="3">
        <f>0</f>
        <v>0</v>
      </c>
      <c r="E176" s="3"/>
      <c r="F176" s="20">
        <f t="shared" si="36"/>
        <v>0</v>
      </c>
      <c r="G176" s="3"/>
      <c r="H176" s="3"/>
      <c r="I176" s="3"/>
      <c r="J176" s="20">
        <f t="shared" si="37"/>
        <v>0</v>
      </c>
      <c r="K176" s="3"/>
      <c r="L176" s="3">
        <f t="shared" si="38"/>
        <v>0</v>
      </c>
      <c r="M176" s="3"/>
      <c r="N176" s="20">
        <f t="shared" si="39"/>
        <v>0</v>
      </c>
      <c r="O176" s="12"/>
      <c r="P176" s="3">
        <f>0</f>
        <v>0</v>
      </c>
      <c r="Q176" s="3"/>
      <c r="R176" s="20">
        <f t="shared" si="40"/>
        <v>0</v>
      </c>
      <c r="S176" s="3"/>
      <c r="T176" s="3"/>
      <c r="U176" s="3"/>
      <c r="V176" s="20">
        <f t="shared" si="41"/>
        <v>0</v>
      </c>
      <c r="W176" s="3"/>
      <c r="X176" s="3">
        <f t="shared" si="42"/>
        <v>0</v>
      </c>
      <c r="Y176" s="3"/>
      <c r="Z176" s="20">
        <f t="shared" si="43"/>
        <v>0</v>
      </c>
    </row>
    <row r="177" spans="1:26" ht="15" customHeight="1" x14ac:dyDescent="0.25">
      <c r="A177" s="10"/>
      <c r="B177" s="11"/>
      <c r="C177" s="11"/>
      <c r="D177" s="4"/>
      <c r="E177" s="4"/>
      <c r="F177" s="9"/>
      <c r="G177" s="4"/>
      <c r="H177" s="4"/>
      <c r="I177" s="4"/>
      <c r="J177" s="9"/>
      <c r="K177" s="4"/>
      <c r="L177" s="4"/>
      <c r="M177" s="4"/>
      <c r="N177" s="9"/>
      <c r="O177" s="11"/>
      <c r="P177" s="4"/>
      <c r="Q177" s="4"/>
      <c r="R177" s="9"/>
      <c r="S177" s="4"/>
      <c r="T177" s="4"/>
      <c r="U177" s="4"/>
      <c r="V177" s="9"/>
      <c r="W177" s="4"/>
      <c r="X177" s="4"/>
      <c r="Y177" s="4"/>
      <c r="Z177" s="9"/>
    </row>
    <row r="178" spans="1:26" s="63" customFormat="1" ht="15" customHeight="1" x14ac:dyDescent="0.25">
      <c r="A178" s="11"/>
      <c r="B178" s="28" t="s">
        <v>292</v>
      </c>
      <c r="C178" s="28"/>
      <c r="D178" s="22">
        <f>+D64-D66+D168</f>
        <v>649711.82000000007</v>
      </c>
      <c r="E178" s="15"/>
      <c r="F178" s="21">
        <f>IF(D$12=0,0,D178/D$12)</f>
        <v>0.29468387889165576</v>
      </c>
      <c r="G178" s="15"/>
      <c r="H178" s="22">
        <f>+H64-H66+H168</f>
        <v>235335.47073011124</v>
      </c>
      <c r="I178" s="15"/>
      <c r="J178" s="21">
        <f>IF(H$12=0,0,H178/H$12)</f>
        <v>0.13874112481288467</v>
      </c>
      <c r="K178" s="16"/>
      <c r="L178" s="22">
        <f>+D178-H178</f>
        <v>414376.34926988883</v>
      </c>
      <c r="M178" s="16"/>
      <c r="N178" s="21">
        <f>IF(H178=0,0,L178/H178)</f>
        <v>1.7607900244885153</v>
      </c>
      <c r="O178" s="27"/>
      <c r="P178" s="22">
        <f>+P64-P66+P168</f>
        <v>4192403.2400000053</v>
      </c>
      <c r="Q178" s="15"/>
      <c r="R178" s="21">
        <f>IF(P$12=0,0,P178/P$12)</f>
        <v>0.17421487850959247</v>
      </c>
      <c r="S178" s="15"/>
      <c r="T178" s="22">
        <f>+T64-T66+T168</f>
        <v>907415.65898973122</v>
      </c>
      <c r="U178" s="15"/>
      <c r="V178" s="21">
        <f>IF(T$12=0,0,T178/T$12)</f>
        <v>3.9875120124900541E-2</v>
      </c>
      <c r="W178" s="16"/>
      <c r="X178" s="22">
        <f>+P178-T178</f>
        <v>3284987.5810102741</v>
      </c>
      <c r="Y178" s="16"/>
      <c r="Z178" s="21">
        <f>IF(T178=0,0,X178/T178)</f>
        <v>3.6201574752055814</v>
      </c>
    </row>
    <row r="179" spans="1:26" ht="15" customHeight="1" x14ac:dyDescent="0.25">
      <c r="A179" s="10"/>
      <c r="B179" s="11"/>
      <c r="C179" s="10"/>
      <c r="D179" s="4"/>
      <c r="E179" s="4"/>
      <c r="F179" s="9"/>
      <c r="G179" s="4"/>
      <c r="H179" s="4"/>
      <c r="I179" s="4"/>
      <c r="J179" s="9"/>
      <c r="K179" s="4"/>
      <c r="L179" s="4"/>
      <c r="M179" s="4"/>
      <c r="N179" s="9"/>
      <c r="P179" s="4"/>
      <c r="Q179" s="4"/>
      <c r="R179" s="9"/>
      <c r="S179" s="4"/>
      <c r="T179" s="4"/>
      <c r="U179" s="4"/>
      <c r="V179" s="9"/>
      <c r="W179" s="4"/>
      <c r="X179" s="4"/>
      <c r="Y179" s="4"/>
      <c r="Z179" s="9"/>
    </row>
    <row r="180" spans="1:26" s="63" customFormat="1" ht="15" customHeight="1" x14ac:dyDescent="0.25">
      <c r="A180" s="49"/>
      <c r="B180" s="11" t="s">
        <v>293</v>
      </c>
      <c r="C180" s="11"/>
      <c r="D180" s="5">
        <v>229105.51</v>
      </c>
      <c r="E180" s="5"/>
      <c r="F180" s="13">
        <f>IF(D$12=0,0,D180/D$12)</f>
        <v>0.10391330168851018</v>
      </c>
      <c r="G180" s="5"/>
      <c r="H180" s="5">
        <v>230226</v>
      </c>
      <c r="I180" s="5"/>
      <c r="J180" s="13">
        <f>IF(H$12=0,0,H180/H$12)</f>
        <v>0.13572885592670761</v>
      </c>
      <c r="K180" s="5"/>
      <c r="L180" s="5">
        <f>+D180-H180</f>
        <v>-1120.4899999999907</v>
      </c>
      <c r="M180" s="5"/>
      <c r="N180" s="13">
        <f>IF(H180=0,0,L180/H180)</f>
        <v>-4.866913380764947E-3</v>
      </c>
      <c r="O180" s="11"/>
      <c r="P180" s="5">
        <v>2705465.94</v>
      </c>
      <c r="Q180" s="5"/>
      <c r="R180" s="13">
        <f>IF(P$12=0,0,P180/P$12)</f>
        <v>0.11242535440100934</v>
      </c>
      <c r="S180" s="5"/>
      <c r="T180" s="5">
        <v>2820939</v>
      </c>
      <c r="U180" s="5"/>
      <c r="V180" s="13">
        <f>IF(T$12=0,0,T180/T$12)</f>
        <v>0.12396224417732882</v>
      </c>
      <c r="W180" s="5"/>
      <c r="X180" s="5">
        <f>+P180-T180</f>
        <v>-115473.06000000006</v>
      </c>
      <c r="Y180" s="5"/>
      <c r="Z180" s="13">
        <f>IF(T180=0,0,X180/T180)</f>
        <v>-4.0934263378258111E-2</v>
      </c>
    </row>
    <row r="181" spans="1:26" ht="15" customHeight="1" x14ac:dyDescent="0.25">
      <c r="A181" s="10"/>
      <c r="B181" s="11"/>
      <c r="C181" s="11"/>
      <c r="D181" s="4"/>
      <c r="E181" s="4"/>
      <c r="F181" s="9"/>
      <c r="G181" s="4"/>
      <c r="H181" s="4"/>
      <c r="I181" s="4"/>
      <c r="J181" s="9"/>
      <c r="K181" s="4"/>
      <c r="L181" s="4"/>
      <c r="M181" s="4"/>
      <c r="N181" s="9"/>
      <c r="O181" s="11"/>
      <c r="P181" s="4"/>
      <c r="Q181" s="4"/>
      <c r="R181" s="9"/>
      <c r="S181" s="4"/>
      <c r="T181" s="4"/>
      <c r="U181" s="4"/>
      <c r="V181" s="9"/>
      <c r="W181" s="4"/>
      <c r="X181" s="4"/>
      <c r="Y181" s="4"/>
      <c r="Z181" s="9"/>
    </row>
    <row r="182" spans="1:26" s="63" customFormat="1" ht="15" customHeight="1" x14ac:dyDescent="0.25">
      <c r="A182" s="11"/>
      <c r="B182" s="28" t="s">
        <v>294</v>
      </c>
      <c r="C182" s="28"/>
      <c r="D182" s="34">
        <f>+D178-D180</f>
        <v>420606.31000000006</v>
      </c>
      <c r="E182" s="15"/>
      <c r="F182" s="32">
        <f>IF(D$12=0,0,D182/D$12)</f>
        <v>0.19077057720314555</v>
      </c>
      <c r="G182" s="15"/>
      <c r="H182" s="34">
        <f>+H178-H180</f>
        <v>5109.4707301112358</v>
      </c>
      <c r="I182" s="15"/>
      <c r="J182" s="32">
        <f>IF(H$12=0,0,H182/H$12)</f>
        <v>3.0122688861770499E-3</v>
      </c>
      <c r="K182" s="16"/>
      <c r="L182" s="34">
        <f>D182-H182</f>
        <v>415496.83926988882</v>
      </c>
      <c r="M182" s="16"/>
      <c r="N182" s="32">
        <f>IF(H182=0,0,L182/H182)</f>
        <v>81.318958697869519</v>
      </c>
      <c r="O182" s="27"/>
      <c r="P182" s="34">
        <f>+P178-P180</f>
        <v>1486937.3000000054</v>
      </c>
      <c r="Q182" s="15"/>
      <c r="R182" s="32">
        <f>IF(P$12=0,0,P182/P$12)</f>
        <v>6.1789524108583141E-2</v>
      </c>
      <c r="S182" s="15"/>
      <c r="T182" s="34">
        <f>+T178-T180</f>
        <v>-1913523.3410102688</v>
      </c>
      <c r="U182" s="15"/>
      <c r="V182" s="32">
        <f>IF(T$12=0,0,T182/T$12)</f>
        <v>-8.4087124052428283E-2</v>
      </c>
      <c r="W182" s="16"/>
      <c r="X182" s="34">
        <f>P182-T182</f>
        <v>3400460.6410102742</v>
      </c>
      <c r="Y182" s="16"/>
      <c r="Z182" s="32">
        <f>IF(T182=0,0,X182/T182)</f>
        <v>-1.7770677619301776</v>
      </c>
    </row>
    <row r="183" spans="1:26" ht="15" customHeight="1" x14ac:dyDescent="0.25">
      <c r="A183" s="10"/>
      <c r="B183" s="10"/>
      <c r="C183" s="10"/>
      <c r="D183" s="4"/>
      <c r="E183" s="4"/>
      <c r="F183" s="9"/>
      <c r="G183" s="4"/>
      <c r="H183" s="4"/>
      <c r="I183" s="4"/>
      <c r="J183" s="9"/>
      <c r="K183" s="4"/>
      <c r="L183" s="4"/>
      <c r="M183" s="4"/>
      <c r="N183" s="9"/>
      <c r="P183" s="4"/>
      <c r="Q183" s="4"/>
      <c r="R183" s="9"/>
      <c r="S183" s="4"/>
      <c r="T183" s="4"/>
      <c r="U183" s="4"/>
      <c r="V183" s="9"/>
      <c r="W183" s="4"/>
      <c r="X183" s="4"/>
      <c r="Y183" s="4"/>
      <c r="Z183" s="9"/>
    </row>
    <row r="184" spans="1:26" s="63" customFormat="1" ht="15" customHeight="1" x14ac:dyDescent="0.25">
      <c r="A184" s="49"/>
      <c r="B184" s="11" t="s">
        <v>295</v>
      </c>
      <c r="C184" s="11"/>
      <c r="D184" s="5">
        <f>--34869.47</f>
        <v>34869.47</v>
      </c>
      <c r="E184" s="5"/>
      <c r="F184" s="13">
        <f>IF(D$12=0,0,D184/D$12)</f>
        <v>1.5815428253246527E-2</v>
      </c>
      <c r="G184" s="5"/>
      <c r="H184" s="5">
        <f>--15000</f>
        <v>15000</v>
      </c>
      <c r="I184" s="5"/>
      <c r="J184" s="13">
        <f>IF(H$12=0,0,H184/H$12)</f>
        <v>8.8431925104054902E-3</v>
      </c>
      <c r="K184" s="5"/>
      <c r="L184" s="5">
        <f>+D184-H184</f>
        <v>19869.47</v>
      </c>
      <c r="M184" s="5"/>
      <c r="N184" s="13">
        <f>IF(H184=0,0,L184/H184)</f>
        <v>1.3246313333333335</v>
      </c>
      <c r="O184" s="11"/>
      <c r="P184" s="5">
        <f>-1551961.8</f>
        <v>-1551961.8</v>
      </c>
      <c r="Q184" s="5"/>
      <c r="R184" s="13">
        <f>IF(P$12=0,0,P184/P$12)</f>
        <v>-6.4491610410674166E-2</v>
      </c>
      <c r="S184" s="5"/>
      <c r="T184" s="5">
        <f>--165000</f>
        <v>165000</v>
      </c>
      <c r="U184" s="5"/>
      <c r="V184" s="13">
        <f>IF(T$12=0,0,T184/T$12)</f>
        <v>7.2506957042528233E-3</v>
      </c>
      <c r="W184" s="5"/>
      <c r="X184" s="5">
        <f>+P184-T184</f>
        <v>-1716961.8</v>
      </c>
      <c r="Y184" s="5"/>
      <c r="Z184" s="13">
        <f>IF(T184=0,0,X184/T184)</f>
        <v>-10.405829090909091</v>
      </c>
    </row>
    <row r="185" spans="1:26" s="63" customFormat="1" ht="15" customHeight="1" x14ac:dyDescent="0.25">
      <c r="A185" s="49"/>
      <c r="B185" s="11" t="s">
        <v>296</v>
      </c>
      <c r="C185" s="11"/>
      <c r="D185" s="5">
        <f>--27330.11</f>
        <v>27330.11</v>
      </c>
      <c r="E185" s="5"/>
      <c r="F185" s="13">
        <f>IF(D$12=0,0,D185/D$12)</f>
        <v>1.2395869333784983E-2</v>
      </c>
      <c r="G185" s="5"/>
      <c r="H185" s="5">
        <f>--15000</f>
        <v>15000</v>
      </c>
      <c r="I185" s="5"/>
      <c r="J185" s="13">
        <f>IF(H$12=0,0,H185/H$12)</f>
        <v>8.8431925104054902E-3</v>
      </c>
      <c r="K185" s="5"/>
      <c r="L185" s="5">
        <f>+D185-H185</f>
        <v>12330.11</v>
      </c>
      <c r="M185" s="5"/>
      <c r="N185" s="13">
        <f>IF(H185=0,0,L185/H185)</f>
        <v>0.82200733333333342</v>
      </c>
      <c r="O185" s="11"/>
      <c r="P185" s="5">
        <f>--2370117.56</f>
        <v>2370117.56</v>
      </c>
      <c r="Q185" s="5"/>
      <c r="R185" s="13">
        <f>IF(P$12=0,0,P185/P$12)</f>
        <v>9.8489987515812352E-2</v>
      </c>
      <c r="S185" s="5"/>
      <c r="T185" s="5">
        <f>--180000</f>
        <v>180000</v>
      </c>
      <c r="U185" s="5"/>
      <c r="V185" s="13">
        <f>IF(T$12=0,0,T185/T$12)</f>
        <v>7.9098498591848986E-3</v>
      </c>
      <c r="W185" s="5"/>
      <c r="X185" s="5">
        <f>+P185-T185</f>
        <v>2190117.56</v>
      </c>
      <c r="Y185" s="5"/>
      <c r="Z185" s="13">
        <f>IF(T185=0,0,X185/T185)</f>
        <v>12.167319777777777</v>
      </c>
    </row>
    <row r="186" spans="1:26" ht="15" customHeight="1" x14ac:dyDescent="0.25">
      <c r="A186" s="10"/>
      <c r="B186" s="10"/>
      <c r="C186" s="10"/>
      <c r="D186" s="4"/>
      <c r="E186" s="4"/>
      <c r="F186" s="9"/>
      <c r="G186" s="4"/>
      <c r="H186" s="4"/>
      <c r="I186" s="4"/>
      <c r="J186" s="9"/>
      <c r="K186" s="4"/>
      <c r="L186" s="4"/>
      <c r="M186" s="4"/>
      <c r="N186" s="9"/>
      <c r="P186" s="4"/>
      <c r="Q186" s="4"/>
      <c r="R186" s="9"/>
      <c r="S186" s="4"/>
      <c r="T186" s="4"/>
      <c r="U186" s="4"/>
      <c r="V186" s="9"/>
      <c r="W186" s="4"/>
      <c r="X186" s="4"/>
      <c r="Y186" s="4"/>
      <c r="Z186" s="9"/>
    </row>
    <row r="187" spans="1:26" s="63" customFormat="1" ht="15" customHeight="1" x14ac:dyDescent="0.25">
      <c r="A187" s="11"/>
      <c r="B187" s="28" t="s">
        <v>297</v>
      </c>
      <c r="C187" s="28"/>
      <c r="D187" s="30">
        <f>SUM(D182:D186)</f>
        <v>482805.89</v>
      </c>
      <c r="E187" s="15"/>
      <c r="F187" s="33">
        <f>IF(D$12=0,0,D187/D$12)</f>
        <v>0.21898187479017706</v>
      </c>
      <c r="G187" s="15"/>
      <c r="H187" s="30">
        <f>SUM(H182:H186)</f>
        <v>35109.470730111236</v>
      </c>
      <c r="I187" s="15"/>
      <c r="J187" s="33">
        <f>IF(H$12=0,0,H187/H$12)</f>
        <v>2.0698653906988031E-2</v>
      </c>
      <c r="K187" s="16"/>
      <c r="L187" s="30">
        <f>+D187-H187</f>
        <v>447696.41926988878</v>
      </c>
      <c r="M187" s="16"/>
      <c r="N187" s="33">
        <f>IF(H187=0,0,L187/H187)</f>
        <v>12.751443128019787</v>
      </c>
      <c r="O187" s="27"/>
      <c r="P187" s="30">
        <f>SUM(P182:P186)</f>
        <v>2305093.0600000052</v>
      </c>
      <c r="Q187" s="15"/>
      <c r="R187" s="33">
        <f>IF(P$12=0,0,P187/P$12)</f>
        <v>9.5787901213721313E-2</v>
      </c>
      <c r="S187" s="15"/>
      <c r="T187" s="30">
        <f>SUM(T182:T186)</f>
        <v>-1568523.3410102688</v>
      </c>
      <c r="U187" s="15"/>
      <c r="V187" s="33">
        <f>IF(T$12=0,0,T187/T$12)</f>
        <v>-6.8926578488990559E-2</v>
      </c>
      <c r="W187" s="16"/>
      <c r="X187" s="30">
        <f>+P187-T187</f>
        <v>3873616.401010274</v>
      </c>
      <c r="Y187" s="16"/>
      <c r="Z187" s="33">
        <f>IF(T187=0,0,X187/T187)</f>
        <v>-2.4695943628835768</v>
      </c>
    </row>
    <row r="188" spans="1:26" ht="15" customHeight="1" x14ac:dyDescent="0.25">
      <c r="A188" s="10"/>
      <c r="C188" s="10"/>
      <c r="D188" s="18"/>
      <c r="E188" s="18"/>
      <c r="G188" s="18"/>
      <c r="H188" s="18"/>
      <c r="I188" s="18"/>
      <c r="J188" s="40"/>
      <c r="K188" s="18"/>
      <c r="L188" s="18"/>
      <c r="M188" s="18"/>
      <c r="P188" s="18"/>
      <c r="Q188" s="18"/>
      <c r="R188" s="40"/>
      <c r="S188" s="18"/>
      <c r="T188" s="18"/>
      <c r="U188" s="18"/>
      <c r="V188" s="40"/>
      <c r="W188" s="18"/>
      <c r="X188" s="18"/>
    </row>
    <row r="189" spans="1:26" ht="15" customHeight="1" x14ac:dyDescent="0.25">
      <c r="A189" s="10"/>
      <c r="B189" s="54">
        <v>44727.874476504629</v>
      </c>
      <c r="D189" s="18"/>
      <c r="E189" s="18"/>
      <c r="G189" s="18"/>
      <c r="H189" s="18"/>
      <c r="I189" s="18"/>
      <c r="J189" s="40"/>
      <c r="K189" s="18"/>
      <c r="L189" s="18"/>
      <c r="M189" s="18"/>
      <c r="P189" s="18"/>
      <c r="Q189" s="18"/>
      <c r="R189" s="40"/>
      <c r="S189" s="18"/>
      <c r="T189" s="18"/>
      <c r="U189" s="18"/>
      <c r="V189" s="40"/>
      <c r="W189" s="18"/>
      <c r="X189" s="18"/>
    </row>
    <row r="190" spans="1:26" ht="15" customHeight="1" x14ac:dyDescent="0.25">
      <c r="A190" s="10"/>
      <c r="B190" s="50" t="s">
        <v>298</v>
      </c>
      <c r="D190" s="18"/>
      <c r="E190" s="18"/>
      <c r="G190" s="18"/>
      <c r="H190" s="18"/>
      <c r="I190" s="18"/>
      <c r="J190" s="40"/>
      <c r="K190" s="18"/>
      <c r="L190" s="18"/>
      <c r="M190" s="18"/>
      <c r="P190" s="18"/>
      <c r="Q190" s="18"/>
      <c r="R190" s="40"/>
      <c r="S190" s="18"/>
      <c r="T190" s="18"/>
      <c r="U190" s="18"/>
      <c r="V190" s="40"/>
      <c r="W190" s="18"/>
      <c r="X190" s="18"/>
    </row>
    <row r="191" spans="1:26" ht="15" customHeight="1" x14ac:dyDescent="0.25">
      <c r="A191" s="10"/>
      <c r="B191" s="58"/>
      <c r="D191" s="18"/>
      <c r="E191" s="18"/>
      <c r="G191" s="18"/>
      <c r="H191" s="18"/>
      <c r="I191" s="18"/>
      <c r="J191" s="40"/>
      <c r="K191" s="18"/>
      <c r="L191" s="18"/>
      <c r="M191" s="18"/>
      <c r="P191" s="18"/>
      <c r="Q191" s="18"/>
      <c r="R191" s="40"/>
      <c r="S191" s="18"/>
      <c r="T191" s="18"/>
      <c r="U191" s="18"/>
      <c r="V191" s="40"/>
      <c r="W191" s="18"/>
      <c r="X191" s="18"/>
    </row>
    <row r="192" spans="1:26" ht="15" customHeight="1" x14ac:dyDescent="0.25">
      <c r="D192" s="18"/>
      <c r="E192" s="18"/>
      <c r="G192" s="18"/>
      <c r="H192" s="18"/>
      <c r="I192" s="18"/>
      <c r="J192" s="40"/>
      <c r="K192" s="18"/>
      <c r="L192" s="18"/>
      <c r="M192" s="18"/>
      <c r="P192" s="18"/>
      <c r="Q192" s="18"/>
      <c r="R192" s="40"/>
      <c r="S192" s="18"/>
      <c r="T192" s="18"/>
      <c r="U192" s="18"/>
      <c r="V192" s="40"/>
      <c r="W192" s="18"/>
      <c r="X19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2124B-F3DB-8AD6-A15F-728B688D66B3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311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DE3D8-8334-186F-5F37-E123D1DE2C05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312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CBBFB-ED4A-DC6A-00E1-A36C36BBDF3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312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60F23-E151-2653-4D99-F24803C1067D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313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94EC9-7078-CDD3-FDF9-A9C5CBD23D0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313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4AD1F-3959-F8C1-F299-1AC9F775ED0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314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CC88B-EF07-7AEE-9089-5F7F55393881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314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9314B-6E02-A645-03F8-008495A125BB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315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ACBFD-E333-CD74-2C41-88D1C99F4E4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315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1F6C5-FA15-9A99-C153-AF55C2DDA636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","100"," - ","Corporate")</f>
        <v>Department 100 - Corporate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>
        <f>SUM(0)</f>
        <v>0</v>
      </c>
      <c r="E18" s="23"/>
      <c r="F18" s="31">
        <f>IF(D$12=0,0,D18/D$12)</f>
        <v>0</v>
      </c>
      <c r="G18" s="23"/>
      <c r="H18" s="23">
        <f>SUM(0)</f>
        <v>0</v>
      </c>
      <c r="I18" s="23"/>
      <c r="J18" s="31">
        <f>IF(H$12=0,0,H18/H$12)</f>
        <v>0</v>
      </c>
      <c r="K18" s="5"/>
      <c r="L18" s="23">
        <f>+D18-H18</f>
        <v>0</v>
      </c>
      <c r="M18" s="5"/>
      <c r="N18" s="31">
        <f>IF(H18=0,0,L18/H18)</f>
        <v>0</v>
      </c>
      <c r="O18" s="11"/>
      <c r="P18" s="23">
        <f>SUM(0)</f>
        <v>0</v>
      </c>
      <c r="Q18" s="23"/>
      <c r="R18" s="31">
        <f>IF(P$12=0,0,P18/P$12)</f>
        <v>0</v>
      </c>
      <c r="S18" s="23"/>
      <c r="T18" s="23">
        <f>SUM(0)</f>
        <v>0</v>
      </c>
      <c r="U18" s="23"/>
      <c r="V18" s="31">
        <f>IF(T$12=0,0,T18/T$12)</f>
        <v>0</v>
      </c>
      <c r="W18" s="5"/>
      <c r="X18" s="23">
        <f>+P18-T18</f>
        <v>0</v>
      </c>
      <c r="Y18" s="5"/>
      <c r="Z18" s="31">
        <f>IF(T18=0,0,X18/T18)</f>
        <v>0</v>
      </c>
    </row>
    <row r="19" spans="1:26" s="65" customFormat="1" ht="15" customHeight="1" x14ac:dyDescent="0.25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25">
      <c r="A22" s="11"/>
      <c r="B22" s="28" t="s">
        <v>292</v>
      </c>
      <c r="C22" s="28"/>
      <c r="D22" s="22">
        <f>+D16-D18+D20</f>
        <v>0</v>
      </c>
      <c r="E22" s="15"/>
      <c r="F22" s="21">
        <f>IF(D$12=0,0,D22/D$12)</f>
        <v>0</v>
      </c>
      <c r="G22" s="15"/>
      <c r="H22" s="22">
        <f>+H16-H18+H20</f>
        <v>0</v>
      </c>
      <c r="I22" s="15"/>
      <c r="J22" s="21">
        <f>IF(H$12=0,0,H22/H$12)</f>
        <v>0</v>
      </c>
      <c r="K22" s="16"/>
      <c r="L22" s="22">
        <f>+D22-H22</f>
        <v>0</v>
      </c>
      <c r="M22" s="16"/>
      <c r="N22" s="21">
        <f>IF(H22=0,0,L22/H22)</f>
        <v>0</v>
      </c>
      <c r="O22" s="27"/>
      <c r="P22" s="22">
        <f>+P16-P18+P20</f>
        <v>0</v>
      </c>
      <c r="Q22" s="15"/>
      <c r="R22" s="21">
        <f>IF(P$12=0,0,P22/P$12)</f>
        <v>0</v>
      </c>
      <c r="S22" s="15"/>
      <c r="T22" s="22">
        <f>+T16-T18+T20</f>
        <v>0</v>
      </c>
      <c r="U22" s="15"/>
      <c r="V22" s="21">
        <f>IF(T$12=0,0,T22/T$12)</f>
        <v>0</v>
      </c>
      <c r="W22" s="16"/>
      <c r="X22" s="22">
        <f>+P22-T22</f>
        <v>0</v>
      </c>
      <c r="Y22" s="16"/>
      <c r="Z22" s="21">
        <f>IF(T22=0,0,X22/T22)</f>
        <v>0</v>
      </c>
    </row>
    <row r="23" spans="1:26" ht="15" customHeight="1" x14ac:dyDescent="0.25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25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25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25">
      <c r="A26" s="11"/>
      <c r="B26" s="28" t="s">
        <v>294</v>
      </c>
      <c r="C26" s="28"/>
      <c r="D26" s="34">
        <f>+D22-D24</f>
        <v>0</v>
      </c>
      <c r="E26" s="15"/>
      <c r="F26" s="32">
        <f>IF(D$12=0,0,D26/D$12)</f>
        <v>0</v>
      </c>
      <c r="G26" s="15"/>
      <c r="H26" s="34">
        <f>+H22-H24</f>
        <v>0</v>
      </c>
      <c r="I26" s="15"/>
      <c r="J26" s="32">
        <f>IF(H$12=0,0,H26/H$12)</f>
        <v>0</v>
      </c>
      <c r="K26" s="16"/>
      <c r="L26" s="34">
        <f>D26-H26</f>
        <v>0</v>
      </c>
      <c r="M26" s="16"/>
      <c r="N26" s="32">
        <f>IF(H26=0,0,L26/H26)</f>
        <v>0</v>
      </c>
      <c r="O26" s="27"/>
      <c r="P26" s="34">
        <f>+P22-P24</f>
        <v>0</v>
      </c>
      <c r="Q26" s="15"/>
      <c r="R26" s="32">
        <f>IF(P$12=0,0,P26/P$12)</f>
        <v>0</v>
      </c>
      <c r="S26" s="15"/>
      <c r="T26" s="34">
        <f>+T22-T24</f>
        <v>0</v>
      </c>
      <c r="U26" s="15"/>
      <c r="V26" s="32">
        <f>IF(T$12=0,0,T26/T$12)</f>
        <v>0</v>
      </c>
      <c r="W26" s="16"/>
      <c r="X26" s="34">
        <f>P26-T26</f>
        <v>0</v>
      </c>
      <c r="Y26" s="16"/>
      <c r="Z26" s="32">
        <f>IF(T26=0,0,X26/T26)</f>
        <v>0</v>
      </c>
    </row>
    <row r="27" spans="1:26" ht="15" customHeight="1" x14ac:dyDescent="0.25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25">
      <c r="A28" s="49"/>
      <c r="B28" s="11" t="s">
        <v>295</v>
      </c>
      <c r="C28" s="11"/>
      <c r="D28" s="5">
        <f>--34869.47</f>
        <v>34869.47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19869.47</v>
      </c>
      <c r="M28" s="5"/>
      <c r="N28" s="13">
        <f>IF(H28=0,0,L28/H28)</f>
        <v>1.3246313333333335</v>
      </c>
      <c r="O28" s="11"/>
      <c r="P28" s="5">
        <f>-1551961.8</f>
        <v>-1551961.8</v>
      </c>
      <c r="Q28" s="5"/>
      <c r="R28" s="13">
        <f>IF(P$12=0,0,P28/P$12)</f>
        <v>0</v>
      </c>
      <c r="S28" s="5"/>
      <c r="T28" s="5">
        <f>--165000</f>
        <v>165000</v>
      </c>
      <c r="U28" s="5"/>
      <c r="V28" s="13">
        <f>IF(T$12=0,0,T28/T$12)</f>
        <v>0</v>
      </c>
      <c r="W28" s="5"/>
      <c r="X28" s="5">
        <f>+P28-T28</f>
        <v>-1716961.8</v>
      </c>
      <c r="Y28" s="5"/>
      <c r="Z28" s="13">
        <f>IF(T28=0,0,X28/T28)</f>
        <v>-10.405829090909091</v>
      </c>
    </row>
    <row r="29" spans="1:26" s="63" customFormat="1" ht="15" customHeight="1" x14ac:dyDescent="0.25">
      <c r="A29" s="49"/>
      <c r="B29" s="11" t="s">
        <v>296</v>
      </c>
      <c r="C29" s="11"/>
      <c r="D29" s="5">
        <f>--27330.11</f>
        <v>27330.11</v>
      </c>
      <c r="E29" s="5"/>
      <c r="F29" s="13">
        <f>IF(D$12=0,0,D29/D$12)</f>
        <v>0</v>
      </c>
      <c r="G29" s="5"/>
      <c r="H29" s="5">
        <f>--15000</f>
        <v>15000</v>
      </c>
      <c r="I29" s="5"/>
      <c r="J29" s="13">
        <f>IF(H$12=0,0,H29/H$12)</f>
        <v>0</v>
      </c>
      <c r="K29" s="5"/>
      <c r="L29" s="5">
        <f>+D29-H29</f>
        <v>12330.11</v>
      </c>
      <c r="M29" s="5"/>
      <c r="N29" s="13">
        <f>IF(H29=0,0,L29/H29)</f>
        <v>0.82200733333333342</v>
      </c>
      <c r="O29" s="11"/>
      <c r="P29" s="5">
        <f>--2370117.56</f>
        <v>2370117.56</v>
      </c>
      <c r="Q29" s="5"/>
      <c r="R29" s="13">
        <f>IF(P$12=0,0,P29/P$12)</f>
        <v>0</v>
      </c>
      <c r="S29" s="5"/>
      <c r="T29" s="5">
        <f>--180000</f>
        <v>180000</v>
      </c>
      <c r="U29" s="5"/>
      <c r="V29" s="13">
        <f>IF(T$12=0,0,T29/T$12)</f>
        <v>0</v>
      </c>
      <c r="W29" s="5"/>
      <c r="X29" s="5">
        <f>+P29-T29</f>
        <v>2190117.56</v>
      </c>
      <c r="Y29" s="5"/>
      <c r="Z29" s="13">
        <f>IF(T29=0,0,X29/T29)</f>
        <v>12.167319777777777</v>
      </c>
    </row>
    <row r="30" spans="1:26" ht="15" customHeight="1" x14ac:dyDescent="0.25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297</v>
      </c>
      <c r="C31" s="28"/>
      <c r="D31" s="30">
        <f>SUM(D26:D30)</f>
        <v>62199.58</v>
      </c>
      <c r="E31" s="15"/>
      <c r="F31" s="33">
        <f>IF(D$12=0,0,D31/D$12)</f>
        <v>0</v>
      </c>
      <c r="G31" s="15"/>
      <c r="H31" s="30">
        <f>SUM(H26:H30)</f>
        <v>30000</v>
      </c>
      <c r="I31" s="15"/>
      <c r="J31" s="33">
        <f>IF(H$12=0,0,H31/H$12)</f>
        <v>0</v>
      </c>
      <c r="K31" s="16"/>
      <c r="L31" s="30">
        <f>+D31-H31</f>
        <v>32199.58</v>
      </c>
      <c r="M31" s="16"/>
      <c r="N31" s="33">
        <f>IF(H31=0,0,L31/H31)</f>
        <v>1.0733193333333333</v>
      </c>
      <c r="O31" s="27"/>
      <c r="P31" s="30">
        <f>SUM(P26:P30)</f>
        <v>818155.76</v>
      </c>
      <c r="Q31" s="15"/>
      <c r="R31" s="33">
        <f>IF(P$12=0,0,P31/P$12)</f>
        <v>0</v>
      </c>
      <c r="S31" s="15"/>
      <c r="T31" s="30">
        <f>SUM(T26:T30)</f>
        <v>345000</v>
      </c>
      <c r="U31" s="15"/>
      <c r="V31" s="33">
        <f>IF(T$12=0,0,T31/T$12)</f>
        <v>0</v>
      </c>
      <c r="W31" s="16"/>
      <c r="X31" s="30">
        <f>+P31-T31</f>
        <v>473155.76</v>
      </c>
      <c r="Y31" s="16"/>
      <c r="Z31" s="33">
        <f>IF(T31=0,0,X31/T31)</f>
        <v>1.3714659710144927</v>
      </c>
    </row>
    <row r="32" spans="1:26" ht="15" customHeight="1" x14ac:dyDescent="0.25">
      <c r="A32" s="10"/>
      <c r="C32" s="10"/>
      <c r="D32" s="18"/>
      <c r="E32" s="18"/>
      <c r="G32" s="18"/>
      <c r="H32" s="18"/>
      <c r="I32" s="18"/>
      <c r="J32" s="40"/>
      <c r="K32" s="18"/>
      <c r="L32" s="18"/>
      <c r="M32" s="18"/>
      <c r="P32" s="18"/>
      <c r="Q32" s="18"/>
      <c r="R32" s="40"/>
      <c r="S32" s="18"/>
      <c r="T32" s="18"/>
      <c r="U32" s="18"/>
      <c r="V32" s="40"/>
      <c r="W32" s="18"/>
      <c r="X32" s="18"/>
    </row>
    <row r="33" spans="1:24" ht="15" customHeight="1" x14ac:dyDescent="0.25">
      <c r="A33" s="10"/>
      <c r="B33" s="54">
        <v>44727.874527581022</v>
      </c>
      <c r="D33" s="18"/>
      <c r="E33" s="18"/>
      <c r="G33" s="18"/>
      <c r="H33" s="18"/>
      <c r="I33" s="18"/>
      <c r="J33" s="40"/>
      <c r="K33" s="18"/>
      <c r="L33" s="18"/>
      <c r="M33" s="18"/>
      <c r="P33" s="18"/>
      <c r="Q33" s="18"/>
      <c r="R33" s="40"/>
      <c r="S33" s="18"/>
      <c r="T33" s="18"/>
      <c r="U33" s="18"/>
      <c r="V33" s="40"/>
      <c r="W33" s="18"/>
      <c r="X33" s="18"/>
    </row>
    <row r="34" spans="1:24" ht="15" customHeight="1" x14ac:dyDescent="0.25">
      <c r="A34" s="10"/>
      <c r="B34" s="50" t="s">
        <v>298</v>
      </c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4" ht="15" customHeight="1" x14ac:dyDescent="0.25">
      <c r="A35" s="10"/>
      <c r="B35" s="58"/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4" ht="15" customHeight="1" x14ac:dyDescent="0.25"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4559B-A179-EE18-8F1B-DF6D91EC00D3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278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65E7E-2EAB-AEF4-49F6-AE4E221F1E97}">
  <sheetPr>
    <tabColor rgb="FFFFC0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300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229106.31999999998</v>
      </c>
      <c r="E18" s="23"/>
      <c r="F18" s="31">
        <f t="shared" ref="F18:F49" si="0">IF(D$12=0,0,D18/D$12)</f>
        <v>0</v>
      </c>
      <c r="G18" s="23"/>
      <c r="H18" s="23" cm="1">
        <f t="array" ref="H18">SUM(OSRRefH22x_0)</f>
        <v>230228.17971184</v>
      </c>
      <c r="I18" s="23"/>
      <c r="J18" s="31">
        <f t="shared" ref="J18:J49" si="1">IF(H$12=0,0,H18/H$12)</f>
        <v>0</v>
      </c>
      <c r="K18" s="5"/>
      <c r="L18" s="23">
        <f t="shared" ref="L18:L49" si="2">+D18-H18</f>
        <v>-1121.8597118400212</v>
      </c>
      <c r="M18" s="5"/>
      <c r="N18" s="31">
        <f t="shared" ref="N18:N49" si="3">IF(H18=0,0,L18/H18)</f>
        <v>-4.8728166692894506E-3</v>
      </c>
      <c r="O18" s="11"/>
      <c r="P18" s="23" cm="1">
        <f t="array" ref="P18">SUM(OSRRefP22x_0)</f>
        <v>2705465.9400000004</v>
      </c>
      <c r="Q18" s="23"/>
      <c r="R18" s="31">
        <f t="shared" ref="R18:R49" si="4">IF(P$12=0,0,P18/P$12)</f>
        <v>0</v>
      </c>
      <c r="S18" s="23"/>
      <c r="T18" s="23" cm="1">
        <f t="array" ref="T18">SUM(OSRRefT22x_0)</f>
        <v>2855939.1260185414</v>
      </c>
      <c r="U18" s="23"/>
      <c r="V18" s="31">
        <f t="shared" ref="V18:V49" si="5">IF(T$12=0,0,T18/T$12)</f>
        <v>0</v>
      </c>
      <c r="W18" s="5"/>
      <c r="X18" s="23">
        <f t="shared" ref="X18:X49" si="6">+P18-T18</f>
        <v>-150473.18601854099</v>
      </c>
      <c r="Y18" s="5"/>
      <c r="Z18" s="31">
        <f t="shared" ref="Z18:Z49" si="7">IF(T18=0,0,X18/T18)</f>
        <v>-5.2687812792535017E-2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79746.170000000013</v>
      </c>
      <c r="E19" s="2"/>
      <c r="F19" s="6">
        <f t="shared" si="0"/>
        <v>0</v>
      </c>
      <c r="G19" s="2"/>
      <c r="H19" s="2">
        <f>SUM(OSRRefH22_0x_0)</f>
        <v>82580.527797993898</v>
      </c>
      <c r="I19" s="2"/>
      <c r="J19" s="6">
        <f t="shared" si="1"/>
        <v>0</v>
      </c>
      <c r="K19" s="2"/>
      <c r="L19" s="2">
        <f t="shared" si="2"/>
        <v>-2834.3577979938855</v>
      </c>
      <c r="M19" s="2"/>
      <c r="N19" s="6">
        <f t="shared" si="3"/>
        <v>-3.4322350238874831E-2</v>
      </c>
      <c r="O19" s="14"/>
      <c r="P19" s="2">
        <f>SUM(OSRRefP22_0x_0)</f>
        <v>953211.30999999982</v>
      </c>
      <c r="Q19" s="2"/>
      <c r="R19" s="6">
        <f t="shared" si="4"/>
        <v>0</v>
      </c>
      <c r="S19" s="2"/>
      <c r="T19" s="2">
        <f>SUM(OSRRefT22_0x_0)</f>
        <v>945700.42612931144</v>
      </c>
      <c r="U19" s="2"/>
      <c r="V19" s="6">
        <f t="shared" si="5"/>
        <v>0</v>
      </c>
      <c r="W19" s="2"/>
      <c r="X19" s="2">
        <f t="shared" si="6"/>
        <v>7510.8838706883835</v>
      </c>
      <c r="Y19" s="2"/>
      <c r="Z19" s="6">
        <f t="shared" si="7"/>
        <v>7.9421386129960077E-3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8140.79</v>
      </c>
      <c r="E20" s="3"/>
      <c r="F20" s="7">
        <f t="shared" si="0"/>
        <v>0</v>
      </c>
      <c r="G20" s="3"/>
      <c r="H20" s="8">
        <v>7276.0362025476898</v>
      </c>
      <c r="I20" s="3"/>
      <c r="J20" s="7">
        <f t="shared" si="1"/>
        <v>0</v>
      </c>
      <c r="K20" s="3"/>
      <c r="L20" s="8">
        <f t="shared" si="2"/>
        <v>864.75379745231021</v>
      </c>
      <c r="M20" s="3"/>
      <c r="N20" s="7">
        <f t="shared" si="3"/>
        <v>0.11884957322635618</v>
      </c>
      <c r="O20" s="12"/>
      <c r="P20" s="8">
        <v>93559.56</v>
      </c>
      <c r="Q20" s="3"/>
      <c r="R20" s="7">
        <f t="shared" si="4"/>
        <v>0</v>
      </c>
      <c r="S20" s="3"/>
      <c r="T20" s="8">
        <v>89154.533900879993</v>
      </c>
      <c r="U20" s="3"/>
      <c r="V20" s="7">
        <f t="shared" si="5"/>
        <v>0</v>
      </c>
      <c r="W20" s="3"/>
      <c r="X20" s="8">
        <f t="shared" si="6"/>
        <v>4405.0260991200048</v>
      </c>
      <c r="Y20" s="3"/>
      <c r="Z20" s="7">
        <f t="shared" si="7"/>
        <v>4.9408884847263225E-2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2349.09</v>
      </c>
      <c r="E21" s="3"/>
      <c r="F21" s="7">
        <f t="shared" si="0"/>
        <v>0</v>
      </c>
      <c r="G21" s="3"/>
      <c r="H21" s="8">
        <v>606.60397095384599</v>
      </c>
      <c r="I21" s="3"/>
      <c r="J21" s="7">
        <f t="shared" si="1"/>
        <v>0</v>
      </c>
      <c r="K21" s="3"/>
      <c r="L21" s="8">
        <f t="shared" si="2"/>
        <v>1742.4860290461543</v>
      </c>
      <c r="M21" s="3"/>
      <c r="N21" s="7">
        <f t="shared" si="3"/>
        <v>2.8725265782652336</v>
      </c>
      <c r="O21" s="12"/>
      <c r="P21" s="8">
        <v>18535.48</v>
      </c>
      <c r="Q21" s="3"/>
      <c r="R21" s="7">
        <f t="shared" si="4"/>
        <v>0</v>
      </c>
      <c r="S21" s="3"/>
      <c r="T21" s="8">
        <v>7350.1554776000003</v>
      </c>
      <c r="U21" s="3"/>
      <c r="V21" s="7">
        <f t="shared" si="5"/>
        <v>0</v>
      </c>
      <c r="W21" s="3"/>
      <c r="X21" s="8">
        <f t="shared" si="6"/>
        <v>11185.324522399998</v>
      </c>
      <c r="Y21" s="3"/>
      <c r="Z21" s="7">
        <f t="shared" si="7"/>
        <v>1.5217806693324902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20065.64</v>
      </c>
      <c r="E22" s="3"/>
      <c r="F22" s="7">
        <f t="shared" si="0"/>
        <v>0</v>
      </c>
      <c r="G22" s="3"/>
      <c r="H22" s="8">
        <v>22944.538461538501</v>
      </c>
      <c r="I22" s="3"/>
      <c r="J22" s="7">
        <f t="shared" si="1"/>
        <v>0</v>
      </c>
      <c r="K22" s="3"/>
      <c r="L22" s="8">
        <f t="shared" si="2"/>
        <v>-2878.8984615385016</v>
      </c>
      <c r="M22" s="3"/>
      <c r="N22" s="7">
        <f t="shared" si="3"/>
        <v>-0.12547205803962216</v>
      </c>
      <c r="O22" s="12"/>
      <c r="P22" s="8">
        <v>235124.94</v>
      </c>
      <c r="Q22" s="3"/>
      <c r="R22" s="7">
        <f t="shared" si="4"/>
        <v>0</v>
      </c>
      <c r="S22" s="3"/>
      <c r="T22" s="8">
        <v>261303.461538462</v>
      </c>
      <c r="U22" s="3"/>
      <c r="V22" s="7">
        <f t="shared" si="5"/>
        <v>0</v>
      </c>
      <c r="W22" s="3"/>
      <c r="X22" s="8">
        <f t="shared" si="6"/>
        <v>-26178.521538461995</v>
      </c>
      <c r="Y22" s="3"/>
      <c r="Z22" s="7">
        <f t="shared" si="7"/>
        <v>-0.10018436565796777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415.95</v>
      </c>
      <c r="E23" s="3"/>
      <c r="F23" s="7">
        <f t="shared" si="0"/>
        <v>0</v>
      </c>
      <c r="G23" s="3"/>
      <c r="H23" s="8">
        <v>220.14867064615399</v>
      </c>
      <c r="I23" s="3"/>
      <c r="J23" s="7">
        <f t="shared" si="1"/>
        <v>0</v>
      </c>
      <c r="K23" s="3"/>
      <c r="L23" s="8">
        <f t="shared" si="2"/>
        <v>195.801329353846</v>
      </c>
      <c r="M23" s="3"/>
      <c r="N23" s="7">
        <f t="shared" si="3"/>
        <v>0.88940500425986402</v>
      </c>
      <c r="O23" s="12"/>
      <c r="P23" s="8">
        <v>3286.99</v>
      </c>
      <c r="Q23" s="3"/>
      <c r="R23" s="7">
        <f t="shared" si="4"/>
        <v>0</v>
      </c>
      <c r="S23" s="3"/>
      <c r="T23" s="8">
        <v>2689.8183816000001</v>
      </c>
      <c r="U23" s="3"/>
      <c r="V23" s="7">
        <f t="shared" si="5"/>
        <v>0</v>
      </c>
      <c r="W23" s="3"/>
      <c r="X23" s="8">
        <f t="shared" si="6"/>
        <v>597.17161839999972</v>
      </c>
      <c r="Y23" s="3"/>
      <c r="Z23" s="7">
        <f t="shared" si="7"/>
        <v>0.22201187354693469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7904.22</v>
      </c>
      <c r="E24" s="3"/>
      <c r="F24" s="7">
        <f t="shared" si="0"/>
        <v>0</v>
      </c>
      <c r="G24" s="3"/>
      <c r="H24" s="8">
        <v>5940.8879384615402</v>
      </c>
      <c r="I24" s="3"/>
      <c r="J24" s="7">
        <f t="shared" si="1"/>
        <v>0</v>
      </c>
      <c r="K24" s="3"/>
      <c r="L24" s="8">
        <f t="shared" si="2"/>
        <v>1963.33206153846</v>
      </c>
      <c r="M24" s="3"/>
      <c r="N24" s="7">
        <f t="shared" si="3"/>
        <v>0.3304778817367976</v>
      </c>
      <c r="O24" s="12"/>
      <c r="P24" s="8">
        <v>92559.23</v>
      </c>
      <c r="Q24" s="3"/>
      <c r="R24" s="7">
        <f t="shared" si="4"/>
        <v>0</v>
      </c>
      <c r="S24" s="3"/>
      <c r="T24" s="8">
        <v>73778.866800000003</v>
      </c>
      <c r="U24" s="3"/>
      <c r="V24" s="7">
        <f t="shared" si="5"/>
        <v>0</v>
      </c>
      <c r="W24" s="3"/>
      <c r="X24" s="8">
        <f t="shared" si="6"/>
        <v>18780.363199999993</v>
      </c>
      <c r="Y24" s="3"/>
      <c r="Z24" s="7">
        <f t="shared" si="7"/>
        <v>0.25454935829944181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417</v>
      </c>
      <c r="I25" s="3"/>
      <c r="J25" s="7">
        <f t="shared" si="1"/>
        <v>0</v>
      </c>
      <c r="K25" s="3"/>
      <c r="L25" s="8">
        <f t="shared" si="2"/>
        <v>-417</v>
      </c>
      <c r="M25" s="3"/>
      <c r="N25" s="7">
        <f t="shared" si="3"/>
        <v>-1</v>
      </c>
      <c r="O25" s="12"/>
      <c r="P25" s="8">
        <v>4855</v>
      </c>
      <c r="Q25" s="3"/>
      <c r="R25" s="7">
        <f t="shared" si="4"/>
        <v>0</v>
      </c>
      <c r="S25" s="3"/>
      <c r="T25" s="8">
        <v>4587</v>
      </c>
      <c r="U25" s="3"/>
      <c r="V25" s="7">
        <f t="shared" si="5"/>
        <v>0</v>
      </c>
      <c r="W25" s="3"/>
      <c r="X25" s="8">
        <f t="shared" si="6"/>
        <v>268</v>
      </c>
      <c r="Y25" s="3"/>
      <c r="Z25" s="7">
        <f t="shared" si="7"/>
        <v>5.8425986483540443E-2</v>
      </c>
    </row>
    <row r="26" spans="1:26" s="70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8">
        <v>755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755</v>
      </c>
      <c r="M26" s="3"/>
      <c r="N26" s="7">
        <f t="shared" si="3"/>
        <v>0</v>
      </c>
      <c r="O26" s="12"/>
      <c r="P26" s="8">
        <v>17592.05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17592.05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8">
        <v>7531.27</v>
      </c>
      <c r="E27" s="3"/>
      <c r="F27" s="7">
        <f t="shared" si="0"/>
        <v>0</v>
      </c>
      <c r="G27" s="3"/>
      <c r="H27" s="8">
        <v>4165.0268553846199</v>
      </c>
      <c r="I27" s="3"/>
      <c r="J27" s="7">
        <f t="shared" si="1"/>
        <v>0</v>
      </c>
      <c r="K27" s="3"/>
      <c r="L27" s="8">
        <f t="shared" si="2"/>
        <v>3366.2431446153805</v>
      </c>
      <c r="M27" s="3"/>
      <c r="N27" s="7">
        <f t="shared" si="3"/>
        <v>0.80821643208937355</v>
      </c>
      <c r="O27" s="12"/>
      <c r="P27" s="8">
        <v>92706.41</v>
      </c>
      <c r="Q27" s="3"/>
      <c r="R27" s="7">
        <f t="shared" si="4"/>
        <v>0</v>
      </c>
      <c r="S27" s="3"/>
      <c r="T27" s="8">
        <v>51426.9568800001</v>
      </c>
      <c r="U27" s="3"/>
      <c r="V27" s="7">
        <f t="shared" si="5"/>
        <v>0</v>
      </c>
      <c r="W27" s="3"/>
      <c r="X27" s="8">
        <f t="shared" si="6"/>
        <v>41279.453119999904</v>
      </c>
      <c r="Y27" s="3"/>
      <c r="Z27" s="7">
        <f t="shared" si="7"/>
        <v>0.80268123226349108</v>
      </c>
    </row>
    <row r="28" spans="1:26" s="70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8">
        <v>4595.92</v>
      </c>
      <c r="E28" s="3"/>
      <c r="F28" s="7">
        <f t="shared" si="0"/>
        <v>0</v>
      </c>
      <c r="G28" s="3"/>
      <c r="H28" s="8">
        <v>3610.2856984615501</v>
      </c>
      <c r="I28" s="3"/>
      <c r="J28" s="7">
        <f t="shared" si="1"/>
        <v>0</v>
      </c>
      <c r="K28" s="3"/>
      <c r="L28" s="8">
        <f t="shared" si="2"/>
        <v>985.63430153845002</v>
      </c>
      <c r="M28" s="3"/>
      <c r="N28" s="7">
        <f t="shared" si="3"/>
        <v>0.27300728636474891</v>
      </c>
      <c r="O28" s="12"/>
      <c r="P28" s="8">
        <v>80495.22</v>
      </c>
      <c r="Q28" s="3"/>
      <c r="R28" s="7">
        <f t="shared" si="4"/>
        <v>0</v>
      </c>
      <c r="S28" s="3"/>
      <c r="T28" s="8">
        <v>44009.633150769303</v>
      </c>
      <c r="U28" s="3"/>
      <c r="V28" s="7">
        <f t="shared" si="5"/>
        <v>0</v>
      </c>
      <c r="W28" s="3"/>
      <c r="X28" s="8">
        <f t="shared" si="6"/>
        <v>36485.586849230698</v>
      </c>
      <c r="Y28" s="3"/>
      <c r="Z28" s="7">
        <f t="shared" si="7"/>
        <v>0.82903637765480709</v>
      </c>
    </row>
    <row r="29" spans="1:26" s="70" customFormat="1" ht="15" hidden="1" customHeight="1" outlineLevel="2" x14ac:dyDescent="0.25">
      <c r="A29" s="25"/>
      <c r="B29" s="12" t="str">
        <f>CONCATENATE("          ","6120"," - ","RETIREES HEALTH INSURANCE")</f>
        <v xml:space="preserve">          6120 - RETIREES HEALTH INSURANCE</v>
      </c>
      <c r="C29" s="12"/>
      <c r="D29" s="8">
        <v>25950.3</v>
      </c>
      <c r="E29" s="3"/>
      <c r="F29" s="7">
        <f t="shared" si="0"/>
        <v>0</v>
      </c>
      <c r="G29" s="3"/>
      <c r="H29" s="8">
        <v>35000</v>
      </c>
      <c r="I29" s="3"/>
      <c r="J29" s="7">
        <f t="shared" si="1"/>
        <v>0</v>
      </c>
      <c r="K29" s="3"/>
      <c r="L29" s="8">
        <f t="shared" si="2"/>
        <v>-9049.7000000000007</v>
      </c>
      <c r="M29" s="3"/>
      <c r="N29" s="7">
        <f t="shared" si="3"/>
        <v>-0.25856285714285715</v>
      </c>
      <c r="O29" s="12"/>
      <c r="P29" s="8">
        <v>296422.15999999997</v>
      </c>
      <c r="Q29" s="3"/>
      <c r="R29" s="7">
        <f t="shared" si="4"/>
        <v>0</v>
      </c>
      <c r="S29" s="3"/>
      <c r="T29" s="8">
        <v>385000</v>
      </c>
      <c r="U29" s="3"/>
      <c r="V29" s="7">
        <f t="shared" si="5"/>
        <v>0</v>
      </c>
      <c r="W29" s="3"/>
      <c r="X29" s="8">
        <f t="shared" si="6"/>
        <v>-88577.840000000026</v>
      </c>
      <c r="Y29" s="3"/>
      <c r="Z29" s="7">
        <f t="shared" si="7"/>
        <v>-0.23007231168831174</v>
      </c>
    </row>
    <row r="30" spans="1:26" s="70" customFormat="1" ht="15" hidden="1" customHeight="1" outlineLevel="2" x14ac:dyDescent="0.25">
      <c r="A30" s="25"/>
      <c r="B30" s="12" t="str">
        <f>CONCATENATE("          ","6156"," - ","EMPLOYEE MEALS")</f>
        <v xml:space="preserve">          6156 - EMPLOYEE MEALS</v>
      </c>
      <c r="C30" s="12"/>
      <c r="D30" s="8">
        <v>2037.99</v>
      </c>
      <c r="E30" s="3"/>
      <c r="F30" s="7">
        <f t="shared" si="0"/>
        <v>0</v>
      </c>
      <c r="G30" s="3"/>
      <c r="H30" s="8">
        <v>2400</v>
      </c>
      <c r="I30" s="3"/>
      <c r="J30" s="7">
        <f t="shared" si="1"/>
        <v>0</v>
      </c>
      <c r="K30" s="3"/>
      <c r="L30" s="8">
        <f t="shared" si="2"/>
        <v>-362.01</v>
      </c>
      <c r="M30" s="3"/>
      <c r="N30" s="7">
        <f t="shared" si="3"/>
        <v>-0.15083749999999999</v>
      </c>
      <c r="O30" s="12"/>
      <c r="P30" s="8">
        <v>18074.27</v>
      </c>
      <c r="Q30" s="3"/>
      <c r="R30" s="7">
        <f t="shared" si="4"/>
        <v>0</v>
      </c>
      <c r="S30" s="3"/>
      <c r="T30" s="8">
        <v>26400</v>
      </c>
      <c r="U30" s="3"/>
      <c r="V30" s="7">
        <f t="shared" si="5"/>
        <v>0</v>
      </c>
      <c r="W30" s="3"/>
      <c r="X30" s="8">
        <f t="shared" si="6"/>
        <v>-8325.73</v>
      </c>
      <c r="Y30" s="3"/>
      <c r="Z30" s="7">
        <f t="shared" si="7"/>
        <v>-0.31536856060606061</v>
      </c>
    </row>
    <row r="31" spans="1:26" s="69" customFormat="1" ht="15" customHeight="1" outlineLevel="1" collapsed="1" x14ac:dyDescent="0.25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96911.69</v>
      </c>
      <c r="E31" s="2"/>
      <c r="F31" s="6">
        <f t="shared" si="0"/>
        <v>0</v>
      </c>
      <c r="G31" s="2"/>
      <c r="H31" s="2">
        <f>SUM(OSRRefH22_1x_0)</f>
        <v>95939.651913846086</v>
      </c>
      <c r="I31" s="2"/>
      <c r="J31" s="6">
        <f t="shared" si="1"/>
        <v>0</v>
      </c>
      <c r="K31" s="2"/>
      <c r="L31" s="2">
        <f t="shared" si="2"/>
        <v>972.03808615391608</v>
      </c>
      <c r="M31" s="2"/>
      <c r="N31" s="6">
        <f t="shared" si="3"/>
        <v>1.0131765821151899E-2</v>
      </c>
      <c r="O31" s="14"/>
      <c r="P31" s="2">
        <f>SUM(OSRRefP22_1x_0)</f>
        <v>1144103.43</v>
      </c>
      <c r="Q31" s="2"/>
      <c r="R31" s="6">
        <f t="shared" si="4"/>
        <v>0</v>
      </c>
      <c r="S31" s="2"/>
      <c r="T31" s="2">
        <f>SUM(OSRRefT22_1x_0)</f>
        <v>1171834.6998892301</v>
      </c>
      <c r="U31" s="2"/>
      <c r="V31" s="6">
        <f t="shared" si="5"/>
        <v>0</v>
      </c>
      <c r="W31" s="2"/>
      <c r="X31" s="2">
        <f t="shared" si="6"/>
        <v>-27731.269889230141</v>
      </c>
      <c r="Y31" s="2"/>
      <c r="Z31" s="6">
        <f t="shared" si="7"/>
        <v>-2.3664830792134328E-2</v>
      </c>
    </row>
    <row r="32" spans="1:26" s="70" customFormat="1" ht="15" hidden="1" customHeight="1" outlineLevel="2" x14ac:dyDescent="0.25">
      <c r="A32" s="25"/>
      <c r="B32" s="12" t="str">
        <f>CONCATENATE("          ","6001"," - ","ADMINISTRATIVE SALARIES")</f>
        <v xml:space="preserve">          6001 - ADMINISTRATIVE SALARIES</v>
      </c>
      <c r="C32" s="12"/>
      <c r="D32" s="8">
        <v>27293.61</v>
      </c>
      <c r="E32" s="3"/>
      <c r="F32" s="7">
        <f t="shared" si="0"/>
        <v>0</v>
      </c>
      <c r="G32" s="3"/>
      <c r="H32" s="8">
        <v>27893.119999999999</v>
      </c>
      <c r="I32" s="3"/>
      <c r="J32" s="7">
        <f t="shared" si="1"/>
        <v>0</v>
      </c>
      <c r="K32" s="3"/>
      <c r="L32" s="8">
        <f t="shared" si="2"/>
        <v>-599.5099999999984</v>
      </c>
      <c r="M32" s="3"/>
      <c r="N32" s="7">
        <f t="shared" si="3"/>
        <v>-2.1493113714062765E-2</v>
      </c>
      <c r="O32" s="12"/>
      <c r="P32" s="8">
        <v>311482.44</v>
      </c>
      <c r="Q32" s="3"/>
      <c r="R32" s="7">
        <f t="shared" si="4"/>
        <v>0</v>
      </c>
      <c r="S32" s="3"/>
      <c r="T32" s="8">
        <v>361335.516923077</v>
      </c>
      <c r="U32" s="3"/>
      <c r="V32" s="7">
        <f t="shared" si="5"/>
        <v>0</v>
      </c>
      <c r="W32" s="3"/>
      <c r="X32" s="8">
        <f t="shared" si="6"/>
        <v>-49853.076923076995</v>
      </c>
      <c r="Y32" s="3"/>
      <c r="Z32" s="7">
        <f t="shared" si="7"/>
        <v>-0.13796893631602225</v>
      </c>
    </row>
    <row r="33" spans="1:26" s="70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8">
        <v>44189.2</v>
      </c>
      <c r="E33" s="3"/>
      <c r="F33" s="7">
        <f t="shared" si="0"/>
        <v>0</v>
      </c>
      <c r="G33" s="3"/>
      <c r="H33" s="8">
        <v>35167.686153846102</v>
      </c>
      <c r="I33" s="3"/>
      <c r="J33" s="7">
        <f t="shared" si="1"/>
        <v>0</v>
      </c>
      <c r="K33" s="3"/>
      <c r="L33" s="8">
        <f t="shared" si="2"/>
        <v>9021.5138461538954</v>
      </c>
      <c r="M33" s="3"/>
      <c r="N33" s="7">
        <f t="shared" si="3"/>
        <v>0.25652850195170607</v>
      </c>
      <c r="O33" s="12"/>
      <c r="P33" s="8">
        <v>554475</v>
      </c>
      <c r="Q33" s="3"/>
      <c r="R33" s="7">
        <f t="shared" si="4"/>
        <v>0</v>
      </c>
      <c r="S33" s="3"/>
      <c r="T33" s="8">
        <v>422012.23384615302</v>
      </c>
      <c r="U33" s="3"/>
      <c r="V33" s="7">
        <f t="shared" si="5"/>
        <v>0</v>
      </c>
      <c r="W33" s="3"/>
      <c r="X33" s="8">
        <f t="shared" si="6"/>
        <v>132462.76615384698</v>
      </c>
      <c r="Y33" s="3"/>
      <c r="Z33" s="7">
        <f t="shared" si="7"/>
        <v>0.31388371125311276</v>
      </c>
    </row>
    <row r="34" spans="1:26" s="70" customFormat="1" ht="15" hidden="1" customHeight="1" outlineLevel="2" x14ac:dyDescent="0.25">
      <c r="A34" s="25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","6004"," - ","STAFF HOURLY")</f>
        <v xml:space="preserve">          6004 - STAFF HOURLY</v>
      </c>
      <c r="C35" s="12"/>
      <c r="D35" s="8">
        <v>20314.34</v>
      </c>
      <c r="E35" s="3"/>
      <c r="F35" s="7">
        <f t="shared" si="0"/>
        <v>0</v>
      </c>
      <c r="G35" s="3"/>
      <c r="H35" s="8">
        <v>24042.045760000001</v>
      </c>
      <c r="I35" s="3"/>
      <c r="J35" s="7">
        <f t="shared" si="1"/>
        <v>0</v>
      </c>
      <c r="K35" s="3"/>
      <c r="L35" s="8">
        <f t="shared" si="2"/>
        <v>-3727.7057600000007</v>
      </c>
      <c r="M35" s="3"/>
      <c r="N35" s="7">
        <f t="shared" si="3"/>
        <v>-0.15504944118366076</v>
      </c>
      <c r="O35" s="12"/>
      <c r="P35" s="8">
        <v>228302.5</v>
      </c>
      <c r="Q35" s="3"/>
      <c r="R35" s="7">
        <f t="shared" si="4"/>
        <v>0</v>
      </c>
      <c r="S35" s="3"/>
      <c r="T35" s="8">
        <v>288504.54911999998</v>
      </c>
      <c r="U35" s="3"/>
      <c r="V35" s="7">
        <f t="shared" si="5"/>
        <v>0</v>
      </c>
      <c r="W35" s="3"/>
      <c r="X35" s="8">
        <f t="shared" si="6"/>
        <v>-60202.049119999981</v>
      </c>
      <c r="Y35" s="3"/>
      <c r="Z35" s="7">
        <f t="shared" si="7"/>
        <v>-0.20866932359863646</v>
      </c>
    </row>
    <row r="36" spans="1:26" s="70" customFormat="1" ht="15" hidden="1" customHeight="1" outlineLevel="2" x14ac:dyDescent="0.25">
      <c r="A36" s="25"/>
      <c r="B36" s="12" t="str">
        <f>CONCATENATE("          ","6005"," - ","TEMPORARY WAGES-HOURLY")</f>
        <v xml:space="preserve">          6005 - TEMPORARY WAGES-HOURLY</v>
      </c>
      <c r="C36" s="12"/>
      <c r="D36" s="8">
        <v>4938.22</v>
      </c>
      <c r="E36" s="3"/>
      <c r="F36" s="7">
        <f t="shared" si="0"/>
        <v>0</v>
      </c>
      <c r="G36" s="3"/>
      <c r="H36" s="8">
        <v>3880</v>
      </c>
      <c r="I36" s="3"/>
      <c r="J36" s="7">
        <f t="shared" si="1"/>
        <v>0</v>
      </c>
      <c r="K36" s="3"/>
      <c r="L36" s="8">
        <f t="shared" si="2"/>
        <v>1058.2200000000003</v>
      </c>
      <c r="M36" s="3"/>
      <c r="N36" s="7">
        <f t="shared" si="3"/>
        <v>0.27273711340206191</v>
      </c>
      <c r="O36" s="12"/>
      <c r="P36" s="8">
        <v>33856.11</v>
      </c>
      <c r="Q36" s="3"/>
      <c r="R36" s="7">
        <f t="shared" si="4"/>
        <v>0</v>
      </c>
      <c r="S36" s="3"/>
      <c r="T36" s="8">
        <v>46560</v>
      </c>
      <c r="U36" s="3"/>
      <c r="V36" s="7">
        <f t="shared" si="5"/>
        <v>0</v>
      </c>
      <c r="W36" s="3"/>
      <c r="X36" s="8">
        <f t="shared" si="6"/>
        <v>-12703.89</v>
      </c>
      <c r="Y36" s="3"/>
      <c r="Z36" s="7">
        <f t="shared" si="7"/>
        <v>-0.27284987113402059</v>
      </c>
    </row>
    <row r="37" spans="1:26" s="70" customFormat="1" ht="15" hidden="1" customHeight="1" outlineLevel="2" x14ac:dyDescent="0.25">
      <c r="A37" s="25"/>
      <c r="B37" s="12" t="str">
        <f>CONCATENATE("          ","6006"," - ","TEMPORARY PART TIME")</f>
        <v xml:space="preserve">          6006 - TEMPORARY PART TIME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","6007"," - ","STUDENT HOURLY")</f>
        <v xml:space="preserve">          6007 - STUDENT HOURLY</v>
      </c>
      <c r="C38" s="12"/>
      <c r="D38" s="8">
        <v>176.32</v>
      </c>
      <c r="E38" s="3"/>
      <c r="F38" s="7">
        <f t="shared" si="0"/>
        <v>0</v>
      </c>
      <c r="G38" s="3"/>
      <c r="H38" s="8">
        <v>1198.4000000000001</v>
      </c>
      <c r="I38" s="3"/>
      <c r="J38" s="7">
        <f t="shared" si="1"/>
        <v>0</v>
      </c>
      <c r="K38" s="3"/>
      <c r="L38" s="8">
        <f t="shared" si="2"/>
        <v>-1022.0800000000002</v>
      </c>
      <c r="M38" s="3"/>
      <c r="N38" s="7">
        <f t="shared" si="3"/>
        <v>-0.85287049399198933</v>
      </c>
      <c r="O38" s="12"/>
      <c r="P38" s="8">
        <v>4512.18</v>
      </c>
      <c r="Q38" s="3"/>
      <c r="R38" s="7">
        <f t="shared" si="4"/>
        <v>0</v>
      </c>
      <c r="S38" s="3"/>
      <c r="T38" s="8">
        <v>9518.4</v>
      </c>
      <c r="U38" s="3"/>
      <c r="V38" s="7">
        <f t="shared" si="5"/>
        <v>0</v>
      </c>
      <c r="W38" s="3"/>
      <c r="X38" s="8">
        <f t="shared" si="6"/>
        <v>-5006.2199999999993</v>
      </c>
      <c r="Y38" s="3"/>
      <c r="Z38" s="7">
        <f t="shared" si="7"/>
        <v>-0.52595184064548661</v>
      </c>
    </row>
    <row r="39" spans="1:26" s="70" customFormat="1" ht="15" hidden="1" customHeight="1" outlineLevel="2" x14ac:dyDescent="0.25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8"/>
      <c r="E39" s="3"/>
      <c r="F39" s="7">
        <f t="shared" si="0"/>
        <v>0</v>
      </c>
      <c r="G39" s="3"/>
      <c r="H39" s="8">
        <v>3758.4</v>
      </c>
      <c r="I39" s="3"/>
      <c r="J39" s="7">
        <f t="shared" si="1"/>
        <v>0</v>
      </c>
      <c r="K39" s="3"/>
      <c r="L39" s="8">
        <f t="shared" si="2"/>
        <v>-3758.4</v>
      </c>
      <c r="M39" s="3"/>
      <c r="N39" s="7">
        <f t="shared" si="3"/>
        <v>-1</v>
      </c>
      <c r="O39" s="12"/>
      <c r="P39" s="8">
        <v>11475.2</v>
      </c>
      <c r="Q39" s="3"/>
      <c r="R39" s="7">
        <f t="shared" si="4"/>
        <v>0</v>
      </c>
      <c r="S39" s="3"/>
      <c r="T39" s="8">
        <v>43904</v>
      </c>
      <c r="U39" s="3"/>
      <c r="V39" s="7">
        <f t="shared" si="5"/>
        <v>0</v>
      </c>
      <c r="W39" s="3"/>
      <c r="X39" s="8">
        <f t="shared" si="6"/>
        <v>-32428.799999999999</v>
      </c>
      <c r="Y39" s="3"/>
      <c r="Z39" s="7">
        <f t="shared" si="7"/>
        <v>-0.73862973760932948</v>
      </c>
    </row>
    <row r="40" spans="1:26" s="70" customFormat="1" ht="15" hidden="1" customHeight="1" outlineLevel="2" x14ac:dyDescent="0.25">
      <c r="A40" s="25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25">
      <c r="A42" s="26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173.21</v>
      </c>
      <c r="E42" s="2"/>
      <c r="F42" s="6">
        <f t="shared" si="0"/>
        <v>0</v>
      </c>
      <c r="G42" s="2"/>
      <c r="H42" s="2">
        <f>SUM(OSRRefH22_2x_0)</f>
        <v>817</v>
      </c>
      <c r="I42" s="2"/>
      <c r="J42" s="6">
        <f t="shared" si="1"/>
        <v>0</v>
      </c>
      <c r="K42" s="2"/>
      <c r="L42" s="2">
        <f t="shared" si="2"/>
        <v>-643.79</v>
      </c>
      <c r="M42" s="2"/>
      <c r="N42" s="6">
        <f t="shared" si="3"/>
        <v>-0.78799265605875146</v>
      </c>
      <c r="O42" s="14"/>
      <c r="P42" s="2">
        <f>SUM(OSRRefP22_2x_0)</f>
        <v>4581.62</v>
      </c>
      <c r="Q42" s="2"/>
      <c r="R42" s="6">
        <f t="shared" si="4"/>
        <v>0</v>
      </c>
      <c r="S42" s="2"/>
      <c r="T42" s="2">
        <f>SUM(OSRRefT22_2x_0)</f>
        <v>8587</v>
      </c>
      <c r="U42" s="2"/>
      <c r="V42" s="6">
        <f t="shared" si="5"/>
        <v>0</v>
      </c>
      <c r="W42" s="2"/>
      <c r="X42" s="2">
        <f t="shared" si="6"/>
        <v>-4005.38</v>
      </c>
      <c r="Y42" s="2"/>
      <c r="Z42" s="6">
        <f t="shared" si="7"/>
        <v>-0.46644695469896358</v>
      </c>
    </row>
    <row r="43" spans="1:26" s="70" customFormat="1" ht="15" hidden="1" customHeight="1" outlineLevel="2" x14ac:dyDescent="0.25">
      <c r="A43" s="25"/>
      <c r="B43" s="12" t="str">
        <f>CONCATENATE("          ","6362"," - ","ADVERTISING EXPENSE")</f>
        <v xml:space="preserve">          6362 - ADVERTISING EXPENSE</v>
      </c>
      <c r="C43" s="12"/>
      <c r="D43" s="8">
        <v>173.21</v>
      </c>
      <c r="E43" s="3"/>
      <c r="F43" s="7">
        <f t="shared" si="0"/>
        <v>0</v>
      </c>
      <c r="G43" s="3"/>
      <c r="H43" s="8">
        <v>817</v>
      </c>
      <c r="I43" s="3"/>
      <c r="J43" s="7">
        <f t="shared" si="1"/>
        <v>0</v>
      </c>
      <c r="K43" s="3"/>
      <c r="L43" s="8">
        <f t="shared" si="2"/>
        <v>-643.79</v>
      </c>
      <c r="M43" s="3"/>
      <c r="N43" s="7">
        <f t="shared" si="3"/>
        <v>-0.78799265605875146</v>
      </c>
      <c r="O43" s="12"/>
      <c r="P43" s="8">
        <v>4581.62</v>
      </c>
      <c r="Q43" s="3"/>
      <c r="R43" s="7">
        <f t="shared" si="4"/>
        <v>0</v>
      </c>
      <c r="S43" s="3"/>
      <c r="T43" s="8">
        <v>8587</v>
      </c>
      <c r="U43" s="3"/>
      <c r="V43" s="7">
        <f t="shared" si="5"/>
        <v>0</v>
      </c>
      <c r="W43" s="3"/>
      <c r="X43" s="8">
        <f t="shared" si="6"/>
        <v>-4005.38</v>
      </c>
      <c r="Y43" s="3"/>
      <c r="Z43" s="7">
        <f t="shared" si="7"/>
        <v>-0.46644695469896358</v>
      </c>
    </row>
    <row r="44" spans="1:26" s="69" customFormat="1" ht="15" customHeight="1" outlineLevel="1" collapsed="1" x14ac:dyDescent="0.25">
      <c r="A44" s="26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279.11</v>
      </c>
      <c r="E44" s="2"/>
      <c r="F44" s="6">
        <f t="shared" si="0"/>
        <v>0</v>
      </c>
      <c r="G44" s="2"/>
      <c r="H44" s="2">
        <f>SUM(OSRRefH22_3x_0)</f>
        <v>1000</v>
      </c>
      <c r="I44" s="2"/>
      <c r="J44" s="6">
        <f t="shared" si="1"/>
        <v>0</v>
      </c>
      <c r="K44" s="2"/>
      <c r="L44" s="2">
        <f t="shared" si="2"/>
        <v>-720.89</v>
      </c>
      <c r="M44" s="2"/>
      <c r="N44" s="6">
        <f t="shared" si="3"/>
        <v>-0.72089000000000003</v>
      </c>
      <c r="O44" s="14"/>
      <c r="P44" s="2">
        <f>SUM(OSRRefP22_3x_0)</f>
        <v>13177.22</v>
      </c>
      <c r="Q44" s="2"/>
      <c r="R44" s="6">
        <f t="shared" si="4"/>
        <v>0</v>
      </c>
      <c r="S44" s="2"/>
      <c r="T44" s="2">
        <f>SUM(OSRRefT22_3x_0)</f>
        <v>42000</v>
      </c>
      <c r="U44" s="2"/>
      <c r="V44" s="6">
        <f t="shared" si="5"/>
        <v>0</v>
      </c>
      <c r="W44" s="2"/>
      <c r="X44" s="2">
        <f t="shared" si="6"/>
        <v>-28822.78</v>
      </c>
      <c r="Y44" s="2"/>
      <c r="Z44" s="6">
        <f t="shared" si="7"/>
        <v>-0.68625666666666663</v>
      </c>
    </row>
    <row r="45" spans="1:26" s="70" customFormat="1" ht="15" hidden="1" customHeight="1" outlineLevel="2" x14ac:dyDescent="0.25">
      <c r="A45" s="25"/>
      <c r="B45" s="12" t="str">
        <f>CONCATENATE("          ","6381"," - ","BANK/CREDIT CARD FEES")</f>
        <v xml:space="preserve">          6381 - BANK/CREDIT CARD FEES</v>
      </c>
      <c r="C45" s="12"/>
      <c r="D45" s="8">
        <v>279.11</v>
      </c>
      <c r="E45" s="3"/>
      <c r="F45" s="7">
        <f t="shared" si="0"/>
        <v>0</v>
      </c>
      <c r="G45" s="3"/>
      <c r="H45" s="8">
        <v>1000</v>
      </c>
      <c r="I45" s="3"/>
      <c r="J45" s="7">
        <f t="shared" si="1"/>
        <v>0</v>
      </c>
      <c r="K45" s="3"/>
      <c r="L45" s="8">
        <f t="shared" si="2"/>
        <v>-720.89</v>
      </c>
      <c r="M45" s="3"/>
      <c r="N45" s="7">
        <f t="shared" si="3"/>
        <v>-0.72089000000000003</v>
      </c>
      <c r="O45" s="12"/>
      <c r="P45" s="8">
        <v>13177.22</v>
      </c>
      <c r="Q45" s="3"/>
      <c r="R45" s="7">
        <f t="shared" si="4"/>
        <v>0</v>
      </c>
      <c r="S45" s="3"/>
      <c r="T45" s="8">
        <v>42000</v>
      </c>
      <c r="U45" s="3"/>
      <c r="V45" s="7">
        <f t="shared" si="5"/>
        <v>0</v>
      </c>
      <c r="W45" s="3"/>
      <c r="X45" s="8">
        <f t="shared" si="6"/>
        <v>-28822.78</v>
      </c>
      <c r="Y45" s="3"/>
      <c r="Z45" s="7">
        <f t="shared" si="7"/>
        <v>-0.68625666666666663</v>
      </c>
    </row>
    <row r="46" spans="1:26" s="69" customFormat="1" ht="15" customHeight="1" outlineLevel="1" collapsed="1" x14ac:dyDescent="0.25">
      <c r="A46" s="26"/>
      <c r="B46" s="14" t="str">
        <f>CONCATENATE("     ","Board                                             ")</f>
        <v xml:space="preserve">     Board                                             </v>
      </c>
      <c r="C46" s="14"/>
      <c r="D46" s="2">
        <f>SUM(OSRRefD22_4x_0)</f>
        <v>8334.77</v>
      </c>
      <c r="E46" s="2"/>
      <c r="F46" s="6">
        <f t="shared" si="0"/>
        <v>0</v>
      </c>
      <c r="G46" s="2"/>
      <c r="H46" s="2">
        <f>SUM(OSRRefH22_4x_0)</f>
        <v>1008</v>
      </c>
      <c r="I46" s="2"/>
      <c r="J46" s="6">
        <f t="shared" si="1"/>
        <v>0</v>
      </c>
      <c r="K46" s="2"/>
      <c r="L46" s="2">
        <f t="shared" si="2"/>
        <v>7326.77</v>
      </c>
      <c r="M46" s="2"/>
      <c r="N46" s="6">
        <f t="shared" si="3"/>
        <v>7.268621031746032</v>
      </c>
      <c r="O46" s="14"/>
      <c r="P46" s="2">
        <f>SUM(OSRRefP22_4x_0)</f>
        <v>26655.41</v>
      </c>
      <c r="Q46" s="2"/>
      <c r="R46" s="6">
        <f t="shared" si="4"/>
        <v>0</v>
      </c>
      <c r="S46" s="2"/>
      <c r="T46" s="2">
        <f>SUM(OSRRefT22_4x_0)</f>
        <v>18588</v>
      </c>
      <c r="U46" s="2"/>
      <c r="V46" s="6">
        <f t="shared" si="5"/>
        <v>0</v>
      </c>
      <c r="W46" s="2"/>
      <c r="X46" s="2">
        <f t="shared" si="6"/>
        <v>8067.41</v>
      </c>
      <c r="Y46" s="2"/>
      <c r="Z46" s="6">
        <f t="shared" si="7"/>
        <v>0.43401172799655691</v>
      </c>
    </row>
    <row r="47" spans="1:26" s="70" customFormat="1" ht="15" hidden="1" customHeight="1" outlineLevel="2" x14ac:dyDescent="0.25">
      <c r="A47" s="25"/>
      <c r="B47" s="12" t="str">
        <f>CONCATENATE("          ","6397"," - ","BOARD EXPENSES")</f>
        <v xml:space="preserve">          6397 - BOARD EXPENSES</v>
      </c>
      <c r="C47" s="12"/>
      <c r="D47" s="8">
        <v>8334.77</v>
      </c>
      <c r="E47" s="3"/>
      <c r="F47" s="7">
        <f t="shared" si="0"/>
        <v>0</v>
      </c>
      <c r="G47" s="3"/>
      <c r="H47" s="8">
        <v>1008</v>
      </c>
      <c r="I47" s="3"/>
      <c r="J47" s="7">
        <f t="shared" si="1"/>
        <v>0</v>
      </c>
      <c r="K47" s="3"/>
      <c r="L47" s="8">
        <f t="shared" si="2"/>
        <v>7326.77</v>
      </c>
      <c r="M47" s="3"/>
      <c r="N47" s="7">
        <f t="shared" si="3"/>
        <v>7.268621031746032</v>
      </c>
      <c r="O47" s="12"/>
      <c r="P47" s="8">
        <v>26655.41</v>
      </c>
      <c r="Q47" s="3"/>
      <c r="R47" s="7">
        <f t="shared" si="4"/>
        <v>0</v>
      </c>
      <c r="S47" s="3"/>
      <c r="T47" s="8">
        <v>18588</v>
      </c>
      <c r="U47" s="3"/>
      <c r="V47" s="7">
        <f t="shared" si="5"/>
        <v>0</v>
      </c>
      <c r="W47" s="3"/>
      <c r="X47" s="8">
        <f t="shared" si="6"/>
        <v>8067.41</v>
      </c>
      <c r="Y47" s="3"/>
      <c r="Z47" s="7">
        <f t="shared" si="7"/>
        <v>0.43401172799655691</v>
      </c>
    </row>
    <row r="48" spans="1:26" s="69" customFormat="1" ht="15" customHeight="1" outlineLevel="1" collapsed="1" x14ac:dyDescent="0.25">
      <c r="A48" s="26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2455.7600000000002</v>
      </c>
      <c r="E48" s="2"/>
      <c r="F48" s="6">
        <f t="shared" si="0"/>
        <v>0</v>
      </c>
      <c r="G48" s="2"/>
      <c r="H48" s="2">
        <f>SUM(OSRRefH22_5x_0)</f>
        <v>2414</v>
      </c>
      <c r="I48" s="2"/>
      <c r="J48" s="6">
        <f t="shared" si="1"/>
        <v>0</v>
      </c>
      <c r="K48" s="2"/>
      <c r="L48" s="2">
        <f t="shared" si="2"/>
        <v>41.760000000000218</v>
      </c>
      <c r="M48" s="2"/>
      <c r="N48" s="6">
        <f t="shared" si="3"/>
        <v>1.7299088649544415E-2</v>
      </c>
      <c r="O48" s="14"/>
      <c r="P48" s="2">
        <f>SUM(OSRRefP22_5x_0)</f>
        <v>48356.800000000003</v>
      </c>
      <c r="Q48" s="2"/>
      <c r="R48" s="6">
        <f t="shared" si="4"/>
        <v>0</v>
      </c>
      <c r="S48" s="2"/>
      <c r="T48" s="2">
        <f>SUM(OSRRefT22_5x_0)</f>
        <v>47897</v>
      </c>
      <c r="U48" s="2"/>
      <c r="V48" s="6">
        <f t="shared" si="5"/>
        <v>0</v>
      </c>
      <c r="W48" s="2"/>
      <c r="X48" s="2">
        <f t="shared" si="6"/>
        <v>459.80000000000291</v>
      </c>
      <c r="Y48" s="2"/>
      <c r="Z48" s="6">
        <f t="shared" si="7"/>
        <v>9.5997661648955651E-3</v>
      </c>
    </row>
    <row r="49" spans="1:26" s="70" customFormat="1" ht="15" hidden="1" customHeight="1" outlineLevel="2" x14ac:dyDescent="0.25">
      <c r="A49" s="25"/>
      <c r="B49" s="12" t="str">
        <f>CONCATENATE("          ","6322"," - ","EQUIPMENT DEPRECIATION EXPENSE")</f>
        <v xml:space="preserve">          6322 - EQUIPMENT DEPRECIATION EXPENSE</v>
      </c>
      <c r="C49" s="12"/>
      <c r="D49" s="8">
        <v>2455.7600000000002</v>
      </c>
      <c r="E49" s="3"/>
      <c r="F49" s="7">
        <f t="shared" si="0"/>
        <v>0</v>
      </c>
      <c r="G49" s="3"/>
      <c r="H49" s="8">
        <v>1914</v>
      </c>
      <c r="I49" s="3"/>
      <c r="J49" s="7">
        <f t="shared" si="1"/>
        <v>0</v>
      </c>
      <c r="K49" s="3"/>
      <c r="L49" s="8">
        <f t="shared" si="2"/>
        <v>541.76000000000022</v>
      </c>
      <c r="M49" s="3"/>
      <c r="N49" s="7">
        <f t="shared" si="3"/>
        <v>0.28305120167189146</v>
      </c>
      <c r="O49" s="12"/>
      <c r="P49" s="8">
        <v>48356.800000000003</v>
      </c>
      <c r="Q49" s="3"/>
      <c r="R49" s="7">
        <f t="shared" si="4"/>
        <v>0</v>
      </c>
      <c r="S49" s="3"/>
      <c r="T49" s="8">
        <v>42397</v>
      </c>
      <c r="U49" s="3"/>
      <c r="V49" s="7">
        <f t="shared" si="5"/>
        <v>0</v>
      </c>
      <c r="W49" s="3"/>
      <c r="X49" s="8">
        <f t="shared" si="6"/>
        <v>5959.8000000000029</v>
      </c>
      <c r="Y49" s="3"/>
      <c r="Z49" s="7">
        <f t="shared" si="7"/>
        <v>0.14057126683491764</v>
      </c>
    </row>
    <row r="50" spans="1:26" s="70" customFormat="1" ht="15" hidden="1" customHeight="1" outlineLevel="2" x14ac:dyDescent="0.25">
      <c r="A50" s="25"/>
      <c r="B50" s="12" t="str">
        <f>CONCATENATE("          ","6324"," - ","FURNITURE + FIXT DEPRECIATION")</f>
        <v xml:space="preserve">          6324 - FURNITURE + FIXT DEPRECIATION</v>
      </c>
      <c r="C50" s="12"/>
      <c r="D50" s="8"/>
      <c r="E50" s="3"/>
      <c r="F50" s="7">
        <f t="shared" ref="F50:F81" si="8">IF(D$12=0,0,D50/D$12)</f>
        <v>0</v>
      </c>
      <c r="G50" s="3"/>
      <c r="H50" s="8">
        <v>500</v>
      </c>
      <c r="I50" s="3"/>
      <c r="J50" s="7">
        <f t="shared" ref="J50:J81" si="9">IF(H$12=0,0,H50/H$12)</f>
        <v>0</v>
      </c>
      <c r="K50" s="3"/>
      <c r="L50" s="8">
        <f t="shared" ref="L50:L81" si="10">+D50-H50</f>
        <v>-500</v>
      </c>
      <c r="M50" s="3"/>
      <c r="N50" s="7">
        <f t="shared" ref="N50:N81" si="11">IF(H50=0,0,L50/H50)</f>
        <v>-1</v>
      </c>
      <c r="O50" s="12"/>
      <c r="P50" s="8"/>
      <c r="Q50" s="3"/>
      <c r="R50" s="7">
        <f t="shared" ref="R50:R81" si="12">IF(P$12=0,0,P50/P$12)</f>
        <v>0</v>
      </c>
      <c r="S50" s="3"/>
      <c r="T50" s="8">
        <v>5500</v>
      </c>
      <c r="U50" s="3"/>
      <c r="V50" s="7">
        <f t="shared" ref="V50:V81" si="13">IF(T$12=0,0,T50/T$12)</f>
        <v>0</v>
      </c>
      <c r="W50" s="3"/>
      <c r="X50" s="8">
        <f t="shared" ref="X50:X81" si="14">+P50-T50</f>
        <v>-5500</v>
      </c>
      <c r="Y50" s="3"/>
      <c r="Z50" s="7">
        <f t="shared" ref="Z50:Z81" si="15">IF(T50=0,0,X50/T50)</f>
        <v>-1</v>
      </c>
    </row>
    <row r="51" spans="1:26" s="69" customFormat="1" ht="15" customHeight="1" outlineLevel="1" collapsed="1" x14ac:dyDescent="0.25">
      <c r="A51" s="26"/>
      <c r="B51" s="14" t="str">
        <f>CONCATENATE("     ","Donations                                         ")</f>
        <v xml:space="preserve">     Donations                                         </v>
      </c>
      <c r="C51" s="14"/>
      <c r="D51" s="2">
        <f>SUM(OSRRefD22_6x_0)</f>
        <v>0</v>
      </c>
      <c r="E51" s="2"/>
      <c r="F51" s="6">
        <f t="shared" si="8"/>
        <v>0</v>
      </c>
      <c r="G51" s="2"/>
      <c r="H51" s="2">
        <f>SUM(OSRRefH22_6x_0)</f>
        <v>500</v>
      </c>
      <c r="I51" s="2"/>
      <c r="J51" s="6">
        <f t="shared" si="9"/>
        <v>0</v>
      </c>
      <c r="K51" s="2"/>
      <c r="L51" s="2">
        <f t="shared" si="10"/>
        <v>-500</v>
      </c>
      <c r="M51" s="2"/>
      <c r="N51" s="6">
        <f t="shared" si="11"/>
        <v>-1</v>
      </c>
      <c r="O51" s="14"/>
      <c r="P51" s="2">
        <f>SUM(OSRRefP22_6x_0)</f>
        <v>25300</v>
      </c>
      <c r="Q51" s="2"/>
      <c r="R51" s="6">
        <f t="shared" si="12"/>
        <v>0</v>
      </c>
      <c r="S51" s="2"/>
      <c r="T51" s="2">
        <f>SUM(OSRRefT22_6x_0)</f>
        <v>63950</v>
      </c>
      <c r="U51" s="2"/>
      <c r="V51" s="6">
        <f t="shared" si="13"/>
        <v>0</v>
      </c>
      <c r="W51" s="2"/>
      <c r="X51" s="2">
        <f t="shared" si="14"/>
        <v>-38650</v>
      </c>
      <c r="Y51" s="2"/>
      <c r="Z51" s="6">
        <f t="shared" si="15"/>
        <v>-0.6043784206411259</v>
      </c>
    </row>
    <row r="52" spans="1:26" s="70" customFormat="1" ht="15" hidden="1" customHeight="1" outlineLevel="2" x14ac:dyDescent="0.25">
      <c r="A52" s="25"/>
      <c r="B52" s="12" t="str">
        <f>CONCATENATE("          ","6399"," - ","DONATION-ON CAMPUS")</f>
        <v xml:space="preserve">          6399 - DONATION-ON CAMPUS</v>
      </c>
      <c r="C52" s="12"/>
      <c r="D52" s="8"/>
      <c r="E52" s="3"/>
      <c r="F52" s="7">
        <f t="shared" si="8"/>
        <v>0</v>
      </c>
      <c r="G52" s="3"/>
      <c r="H52" s="8">
        <v>500</v>
      </c>
      <c r="I52" s="3"/>
      <c r="J52" s="7">
        <f t="shared" si="9"/>
        <v>0</v>
      </c>
      <c r="K52" s="3"/>
      <c r="L52" s="8">
        <f t="shared" si="10"/>
        <v>-500</v>
      </c>
      <c r="M52" s="3"/>
      <c r="N52" s="7">
        <f t="shared" si="11"/>
        <v>-1</v>
      </c>
      <c r="O52" s="12"/>
      <c r="P52" s="8">
        <v>25300</v>
      </c>
      <c r="Q52" s="3"/>
      <c r="R52" s="7">
        <f t="shared" si="12"/>
        <v>0</v>
      </c>
      <c r="S52" s="3"/>
      <c r="T52" s="8">
        <v>63950</v>
      </c>
      <c r="U52" s="3"/>
      <c r="V52" s="7">
        <f t="shared" si="13"/>
        <v>0</v>
      </c>
      <c r="W52" s="3"/>
      <c r="X52" s="8">
        <f t="shared" si="14"/>
        <v>-38650</v>
      </c>
      <c r="Y52" s="3"/>
      <c r="Z52" s="7">
        <f t="shared" si="15"/>
        <v>-0.6043784206411259</v>
      </c>
    </row>
    <row r="53" spans="1:26" s="69" customFormat="1" ht="15" customHeight="1" outlineLevel="1" collapsed="1" x14ac:dyDescent="0.25">
      <c r="A53" s="26"/>
      <c r="B53" s="14" t="str">
        <f>CONCATENATE("     ","Employees' Appreciation                           ")</f>
        <v xml:space="preserve">     Employees' Appreciation                           </v>
      </c>
      <c r="C53" s="14"/>
      <c r="D53" s="2">
        <f>SUM(OSRRefD22_7x_0)</f>
        <v>136.71</v>
      </c>
      <c r="E53" s="2"/>
      <c r="F53" s="6">
        <f t="shared" si="8"/>
        <v>0</v>
      </c>
      <c r="G53" s="2"/>
      <c r="H53" s="2">
        <f>SUM(OSRRefH22_7x_0)</f>
        <v>12750</v>
      </c>
      <c r="I53" s="2"/>
      <c r="J53" s="6">
        <f t="shared" si="9"/>
        <v>0</v>
      </c>
      <c r="K53" s="2"/>
      <c r="L53" s="2">
        <f t="shared" si="10"/>
        <v>-12613.29</v>
      </c>
      <c r="M53" s="2"/>
      <c r="N53" s="6">
        <f t="shared" si="11"/>
        <v>-0.98927764705882359</v>
      </c>
      <c r="O53" s="14"/>
      <c r="P53" s="2">
        <f>SUM(OSRRefP22_7x_0)</f>
        <v>895.18</v>
      </c>
      <c r="Q53" s="2"/>
      <c r="R53" s="6">
        <f t="shared" si="12"/>
        <v>0</v>
      </c>
      <c r="S53" s="2"/>
      <c r="T53" s="2">
        <f>SUM(OSRRefT22_7x_0)</f>
        <v>18750</v>
      </c>
      <c r="U53" s="2"/>
      <c r="V53" s="6">
        <f t="shared" si="13"/>
        <v>0</v>
      </c>
      <c r="W53" s="2"/>
      <c r="X53" s="2">
        <f t="shared" si="14"/>
        <v>-17854.82</v>
      </c>
      <c r="Y53" s="2"/>
      <c r="Z53" s="6">
        <f t="shared" si="15"/>
        <v>-0.95225706666666665</v>
      </c>
    </row>
    <row r="54" spans="1:26" s="70" customFormat="1" ht="15" hidden="1" customHeight="1" outlineLevel="2" x14ac:dyDescent="0.25">
      <c r="A54" s="25"/>
      <c r="B54" s="12" t="str">
        <f>CONCATENATE("          ","6277"," - ","EMPLOYEE APPRECIATION")</f>
        <v xml:space="preserve">          6277 - EMPLOYEE APPRECIATION</v>
      </c>
      <c r="C54" s="12"/>
      <c r="D54" s="8">
        <v>136.71</v>
      </c>
      <c r="E54" s="3"/>
      <c r="F54" s="7">
        <f t="shared" si="8"/>
        <v>0</v>
      </c>
      <c r="G54" s="3"/>
      <c r="H54" s="8">
        <v>12750</v>
      </c>
      <c r="I54" s="3"/>
      <c r="J54" s="7">
        <f t="shared" si="9"/>
        <v>0</v>
      </c>
      <c r="K54" s="3"/>
      <c r="L54" s="8">
        <f t="shared" si="10"/>
        <v>-12613.29</v>
      </c>
      <c r="M54" s="3"/>
      <c r="N54" s="7">
        <f t="shared" si="11"/>
        <v>-0.98927764705882359</v>
      </c>
      <c r="O54" s="12"/>
      <c r="P54" s="8">
        <v>895.18</v>
      </c>
      <c r="Q54" s="3"/>
      <c r="R54" s="7">
        <f t="shared" si="12"/>
        <v>0</v>
      </c>
      <c r="S54" s="3"/>
      <c r="T54" s="8">
        <v>18750</v>
      </c>
      <c r="U54" s="3"/>
      <c r="V54" s="7">
        <f t="shared" si="13"/>
        <v>0</v>
      </c>
      <c r="W54" s="3"/>
      <c r="X54" s="8">
        <f t="shared" si="14"/>
        <v>-17854.82</v>
      </c>
      <c r="Y54" s="3"/>
      <c r="Z54" s="7">
        <f t="shared" si="15"/>
        <v>-0.95225706666666665</v>
      </c>
    </row>
    <row r="55" spans="1:26" s="69" customFormat="1" ht="15" customHeight="1" outlineLevel="1" collapsed="1" x14ac:dyDescent="0.25">
      <c r="A55" s="26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SUM(OSRRefD22_8x_0)</f>
        <v>208.97</v>
      </c>
      <c r="E55" s="2"/>
      <c r="F55" s="6">
        <f t="shared" si="8"/>
        <v>0</v>
      </c>
      <c r="G55" s="2"/>
      <c r="H55" s="2">
        <f>SUM(OSRRefH22_8x_0)</f>
        <v>284</v>
      </c>
      <c r="I55" s="2"/>
      <c r="J55" s="6">
        <f t="shared" si="9"/>
        <v>0</v>
      </c>
      <c r="K55" s="2"/>
      <c r="L55" s="2">
        <f t="shared" si="10"/>
        <v>-75.03</v>
      </c>
      <c r="M55" s="2"/>
      <c r="N55" s="6">
        <f t="shared" si="11"/>
        <v>-0.26419014084507042</v>
      </c>
      <c r="O55" s="14"/>
      <c r="P55" s="2">
        <f>SUM(OSRRefP22_8x_0)</f>
        <v>2298.67</v>
      </c>
      <c r="Q55" s="2"/>
      <c r="R55" s="6">
        <f t="shared" si="12"/>
        <v>0</v>
      </c>
      <c r="S55" s="2"/>
      <c r="T55" s="2">
        <f>SUM(OSRRefT22_8x_0)</f>
        <v>3124</v>
      </c>
      <c r="U55" s="2"/>
      <c r="V55" s="6">
        <f t="shared" si="13"/>
        <v>0</v>
      </c>
      <c r="W55" s="2"/>
      <c r="X55" s="2">
        <f t="shared" si="14"/>
        <v>-825.32999999999993</v>
      </c>
      <c r="Y55" s="2"/>
      <c r="Z55" s="6">
        <f t="shared" si="15"/>
        <v>-0.26419014084507042</v>
      </c>
    </row>
    <row r="56" spans="1:26" s="70" customFormat="1" ht="15" hidden="1" customHeight="1" outlineLevel="2" x14ac:dyDescent="0.25">
      <c r="A56" s="25"/>
      <c r="B56" s="12" t="str">
        <f>CONCATENATE("          ","6351"," - ","EQUIPMENT RENTAL")</f>
        <v xml:space="preserve">          6351 - EQUIPMENT RENTAL</v>
      </c>
      <c r="C56" s="12"/>
      <c r="D56" s="8">
        <v>208.97</v>
      </c>
      <c r="E56" s="3"/>
      <c r="F56" s="7">
        <f t="shared" si="8"/>
        <v>0</v>
      </c>
      <c r="G56" s="3"/>
      <c r="H56" s="8">
        <v>284</v>
      </c>
      <c r="I56" s="3"/>
      <c r="J56" s="7">
        <f t="shared" si="9"/>
        <v>0</v>
      </c>
      <c r="K56" s="3"/>
      <c r="L56" s="8">
        <f t="shared" si="10"/>
        <v>-75.03</v>
      </c>
      <c r="M56" s="3"/>
      <c r="N56" s="7">
        <f t="shared" si="11"/>
        <v>-0.26419014084507042</v>
      </c>
      <c r="O56" s="12"/>
      <c r="P56" s="8">
        <v>2298.67</v>
      </c>
      <c r="Q56" s="3"/>
      <c r="R56" s="7">
        <f t="shared" si="12"/>
        <v>0</v>
      </c>
      <c r="S56" s="3"/>
      <c r="T56" s="8">
        <v>3124</v>
      </c>
      <c r="U56" s="3"/>
      <c r="V56" s="7">
        <f t="shared" si="13"/>
        <v>0</v>
      </c>
      <c r="W56" s="3"/>
      <c r="X56" s="8">
        <f t="shared" si="14"/>
        <v>-825.32999999999993</v>
      </c>
      <c r="Y56" s="3"/>
      <c r="Z56" s="7">
        <f t="shared" si="15"/>
        <v>-0.26419014084507042</v>
      </c>
    </row>
    <row r="57" spans="1:26" s="69" customFormat="1" ht="15" customHeight="1" outlineLevel="1" collapsed="1" x14ac:dyDescent="0.25">
      <c r="A57" s="26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SUM(OSRRefD22_9x_0)</f>
        <v>118.73</v>
      </c>
      <c r="E57" s="2"/>
      <c r="F57" s="6">
        <f t="shared" si="8"/>
        <v>0</v>
      </c>
      <c r="G57" s="2"/>
      <c r="H57" s="2">
        <f>SUM(OSRRefH22_9x_0)</f>
        <v>210</v>
      </c>
      <c r="I57" s="2"/>
      <c r="J57" s="6">
        <f t="shared" si="9"/>
        <v>0</v>
      </c>
      <c r="K57" s="2"/>
      <c r="L57" s="2">
        <f t="shared" si="10"/>
        <v>-91.27</v>
      </c>
      <c r="M57" s="2"/>
      <c r="N57" s="6">
        <f t="shared" si="11"/>
        <v>-0.43461904761904763</v>
      </c>
      <c r="O57" s="14"/>
      <c r="P57" s="2">
        <f>SUM(OSRRefP22_9x_0)</f>
        <v>1746.24</v>
      </c>
      <c r="Q57" s="2"/>
      <c r="R57" s="6">
        <f t="shared" si="12"/>
        <v>0</v>
      </c>
      <c r="S57" s="2"/>
      <c r="T57" s="2">
        <f>SUM(OSRRefT22_9x_0)</f>
        <v>2420</v>
      </c>
      <c r="U57" s="2"/>
      <c r="V57" s="6">
        <f t="shared" si="13"/>
        <v>0</v>
      </c>
      <c r="W57" s="2"/>
      <c r="X57" s="2">
        <f t="shared" si="14"/>
        <v>-673.76</v>
      </c>
      <c r="Y57" s="2"/>
      <c r="Z57" s="6">
        <f t="shared" si="15"/>
        <v>-0.27841322314049588</v>
      </c>
    </row>
    <row r="58" spans="1:26" s="70" customFormat="1" ht="15" hidden="1" customHeight="1" outlineLevel="2" x14ac:dyDescent="0.25">
      <c r="A58" s="25"/>
      <c r="B58" s="12" t="str">
        <f>CONCATENATE("          ","6307"," - ","POSTAGE")</f>
        <v xml:space="preserve">          6307 - POSTAGE</v>
      </c>
      <c r="C58" s="12"/>
      <c r="D58" s="8">
        <v>118.73</v>
      </c>
      <c r="E58" s="3"/>
      <c r="F58" s="7">
        <f t="shared" si="8"/>
        <v>0</v>
      </c>
      <c r="G58" s="3"/>
      <c r="H58" s="8">
        <v>210</v>
      </c>
      <c r="I58" s="3"/>
      <c r="J58" s="7">
        <f t="shared" si="9"/>
        <v>0</v>
      </c>
      <c r="K58" s="3"/>
      <c r="L58" s="8">
        <f t="shared" si="10"/>
        <v>-91.27</v>
      </c>
      <c r="M58" s="3"/>
      <c r="N58" s="7">
        <f t="shared" si="11"/>
        <v>-0.43461904761904763</v>
      </c>
      <c r="O58" s="12"/>
      <c r="P58" s="8">
        <v>1746.24</v>
      </c>
      <c r="Q58" s="3"/>
      <c r="R58" s="7">
        <f t="shared" si="12"/>
        <v>0</v>
      </c>
      <c r="S58" s="3"/>
      <c r="T58" s="8">
        <v>2420</v>
      </c>
      <c r="U58" s="3"/>
      <c r="V58" s="7">
        <f t="shared" si="13"/>
        <v>0</v>
      </c>
      <c r="W58" s="3"/>
      <c r="X58" s="8">
        <f t="shared" si="14"/>
        <v>-673.76</v>
      </c>
      <c r="Y58" s="3"/>
      <c r="Z58" s="7">
        <f t="shared" si="15"/>
        <v>-0.27841322314049588</v>
      </c>
    </row>
    <row r="59" spans="1:26" s="69" customFormat="1" ht="15" customHeight="1" outlineLevel="1" collapsed="1" x14ac:dyDescent="0.25">
      <c r="A59" s="26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SUM(OSRRefD22_10x_0)</f>
        <v>51.36</v>
      </c>
      <c r="E59" s="2"/>
      <c r="F59" s="6">
        <f t="shared" si="8"/>
        <v>0</v>
      </c>
      <c r="G59" s="2"/>
      <c r="H59" s="2">
        <f>SUM(OSRRefH22_10x_0)</f>
        <v>0</v>
      </c>
      <c r="I59" s="2"/>
      <c r="J59" s="6">
        <f t="shared" si="9"/>
        <v>0</v>
      </c>
      <c r="K59" s="2"/>
      <c r="L59" s="2">
        <f t="shared" si="10"/>
        <v>51.36</v>
      </c>
      <c r="M59" s="2"/>
      <c r="N59" s="6">
        <f t="shared" si="11"/>
        <v>0</v>
      </c>
      <c r="O59" s="14"/>
      <c r="P59" s="2">
        <f>SUM(OSRRefP22_10x_0)</f>
        <v>1333.39</v>
      </c>
      <c r="Q59" s="2"/>
      <c r="R59" s="6">
        <f t="shared" si="12"/>
        <v>0</v>
      </c>
      <c r="S59" s="2"/>
      <c r="T59" s="2">
        <f>SUM(OSRRefT22_10x_0)</f>
        <v>-750</v>
      </c>
      <c r="U59" s="2"/>
      <c r="V59" s="6">
        <f t="shared" si="13"/>
        <v>0</v>
      </c>
      <c r="W59" s="2"/>
      <c r="X59" s="2">
        <f t="shared" si="14"/>
        <v>2083.3900000000003</v>
      </c>
      <c r="Y59" s="2"/>
      <c r="Z59" s="6">
        <f t="shared" si="15"/>
        <v>-2.7778533333333337</v>
      </c>
    </row>
    <row r="60" spans="1:26" s="70" customFormat="1" ht="15" hidden="1" customHeight="1" outlineLevel="2" x14ac:dyDescent="0.25">
      <c r="A60" s="25"/>
      <c r="B60" s="12" t="str">
        <f>CONCATENATE("          ","6279"," - ","GENERAL EXPENSE")</f>
        <v xml:space="preserve">          6279 - GENERAL EXPENSE</v>
      </c>
      <c r="C60" s="12"/>
      <c r="D60" s="8">
        <v>51.36</v>
      </c>
      <c r="E60" s="3"/>
      <c r="F60" s="7">
        <f t="shared" si="8"/>
        <v>0</v>
      </c>
      <c r="G60" s="3"/>
      <c r="H60" s="8">
        <v>0</v>
      </c>
      <c r="I60" s="3"/>
      <c r="J60" s="7">
        <f t="shared" si="9"/>
        <v>0</v>
      </c>
      <c r="K60" s="3"/>
      <c r="L60" s="8">
        <f t="shared" si="10"/>
        <v>51.36</v>
      </c>
      <c r="M60" s="3"/>
      <c r="N60" s="7">
        <f t="shared" si="11"/>
        <v>0</v>
      </c>
      <c r="O60" s="12"/>
      <c r="P60" s="8">
        <v>1333.39</v>
      </c>
      <c r="Q60" s="3"/>
      <c r="R60" s="7">
        <f t="shared" si="12"/>
        <v>0</v>
      </c>
      <c r="S60" s="3"/>
      <c r="T60" s="8">
        <v>-750</v>
      </c>
      <c r="U60" s="3"/>
      <c r="V60" s="7">
        <f t="shared" si="13"/>
        <v>0</v>
      </c>
      <c r="W60" s="3"/>
      <c r="X60" s="8">
        <f t="shared" si="14"/>
        <v>2083.3900000000003</v>
      </c>
      <c r="Y60" s="3"/>
      <c r="Z60" s="7">
        <f t="shared" si="15"/>
        <v>-2.7778533333333337</v>
      </c>
    </row>
    <row r="61" spans="1:26" s="69" customFormat="1" ht="15" customHeight="1" outlineLevel="1" collapsed="1" x14ac:dyDescent="0.25">
      <c r="A61" s="26"/>
      <c r="B61" s="14" t="str">
        <f>CONCATENATE("     ","Insurance                                         ")</f>
        <v xml:space="preserve">     Insurance                                         </v>
      </c>
      <c r="C61" s="14"/>
      <c r="D61" s="2">
        <f>SUM(OSRRefD22_11x_0)</f>
        <v>535.05999999999995</v>
      </c>
      <c r="E61" s="2"/>
      <c r="F61" s="6">
        <f t="shared" si="8"/>
        <v>0</v>
      </c>
      <c r="G61" s="2"/>
      <c r="H61" s="2">
        <f>SUM(OSRRefH22_11x_0)</f>
        <v>530</v>
      </c>
      <c r="I61" s="2"/>
      <c r="J61" s="6">
        <f t="shared" si="9"/>
        <v>0</v>
      </c>
      <c r="K61" s="2"/>
      <c r="L61" s="2">
        <f t="shared" si="10"/>
        <v>5.0599999999999454</v>
      </c>
      <c r="M61" s="2"/>
      <c r="N61" s="6">
        <f t="shared" si="11"/>
        <v>9.5471698113206525E-3</v>
      </c>
      <c r="O61" s="14"/>
      <c r="P61" s="2">
        <f>SUM(OSRRefP22_11x_0)</f>
        <v>5885.66</v>
      </c>
      <c r="Q61" s="2"/>
      <c r="R61" s="6">
        <f t="shared" si="12"/>
        <v>0</v>
      </c>
      <c r="S61" s="2"/>
      <c r="T61" s="2">
        <f>SUM(OSRRefT22_11x_0)</f>
        <v>5830</v>
      </c>
      <c r="U61" s="2"/>
      <c r="V61" s="6">
        <f t="shared" si="13"/>
        <v>0</v>
      </c>
      <c r="W61" s="2"/>
      <c r="X61" s="2">
        <f t="shared" si="14"/>
        <v>55.659999999999854</v>
      </c>
      <c r="Y61" s="2"/>
      <c r="Z61" s="6">
        <f t="shared" si="15"/>
        <v>9.5471698113207305E-3</v>
      </c>
    </row>
    <row r="62" spans="1:26" s="70" customFormat="1" ht="15" hidden="1" customHeight="1" outlineLevel="2" x14ac:dyDescent="0.25">
      <c r="A62" s="25"/>
      <c r="B62" s="12" t="str">
        <f>CONCATENATE("          ","6314"," - ","LIABILITY INSURANCE")</f>
        <v xml:space="preserve">          6314 - LIABILITY INSURANCE</v>
      </c>
      <c r="C62" s="12"/>
      <c r="D62" s="8">
        <v>535.05999999999995</v>
      </c>
      <c r="E62" s="3"/>
      <c r="F62" s="7">
        <f t="shared" si="8"/>
        <v>0</v>
      </c>
      <c r="G62" s="3"/>
      <c r="H62" s="8">
        <v>530</v>
      </c>
      <c r="I62" s="3"/>
      <c r="J62" s="7">
        <f t="shared" si="9"/>
        <v>0</v>
      </c>
      <c r="K62" s="3"/>
      <c r="L62" s="8">
        <f t="shared" si="10"/>
        <v>5.0599999999999454</v>
      </c>
      <c r="M62" s="3"/>
      <c r="N62" s="7">
        <f t="shared" si="11"/>
        <v>9.5471698113206525E-3</v>
      </c>
      <c r="O62" s="12"/>
      <c r="P62" s="8">
        <v>5885.66</v>
      </c>
      <c r="Q62" s="3"/>
      <c r="R62" s="7">
        <f t="shared" si="12"/>
        <v>0</v>
      </c>
      <c r="S62" s="3"/>
      <c r="T62" s="8">
        <v>5830</v>
      </c>
      <c r="U62" s="3"/>
      <c r="V62" s="7">
        <f t="shared" si="13"/>
        <v>0</v>
      </c>
      <c r="W62" s="3"/>
      <c r="X62" s="8">
        <f t="shared" si="14"/>
        <v>55.659999999999854</v>
      </c>
      <c r="Y62" s="3"/>
      <c r="Z62" s="7">
        <f t="shared" si="15"/>
        <v>9.5471698113207305E-3</v>
      </c>
    </row>
    <row r="63" spans="1:26" s="69" customFormat="1" ht="15" customHeight="1" outlineLevel="1" collapsed="1" x14ac:dyDescent="0.25">
      <c r="A63" s="26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SUM(OSRRefD22_12x_0)</f>
        <v>8406.75</v>
      </c>
      <c r="E63" s="2"/>
      <c r="F63" s="6">
        <f t="shared" si="8"/>
        <v>0</v>
      </c>
      <c r="G63" s="2"/>
      <c r="H63" s="2">
        <f>SUM(OSRRefH22_12x_0)</f>
        <v>2666</v>
      </c>
      <c r="I63" s="2"/>
      <c r="J63" s="6">
        <f t="shared" si="9"/>
        <v>0</v>
      </c>
      <c r="K63" s="2"/>
      <c r="L63" s="2">
        <f t="shared" si="10"/>
        <v>5740.75</v>
      </c>
      <c r="M63" s="2"/>
      <c r="N63" s="6">
        <f t="shared" si="11"/>
        <v>2.1533195798949736</v>
      </c>
      <c r="O63" s="14"/>
      <c r="P63" s="2">
        <f>SUM(OSRRefP22_12x_0)</f>
        <v>118345.64</v>
      </c>
      <c r="Q63" s="2"/>
      <c r="R63" s="6">
        <f t="shared" si="12"/>
        <v>0</v>
      </c>
      <c r="S63" s="2"/>
      <c r="T63" s="2">
        <f>SUM(OSRRefT22_12x_0)</f>
        <v>149826</v>
      </c>
      <c r="U63" s="2"/>
      <c r="V63" s="6">
        <f t="shared" si="13"/>
        <v>0</v>
      </c>
      <c r="W63" s="2"/>
      <c r="X63" s="2">
        <f t="shared" si="14"/>
        <v>-31480.36</v>
      </c>
      <c r="Y63" s="2"/>
      <c r="Z63" s="6">
        <f t="shared" si="15"/>
        <v>-0.21011279751178033</v>
      </c>
    </row>
    <row r="64" spans="1:26" s="70" customFormat="1" ht="15" hidden="1" customHeight="1" outlineLevel="2" x14ac:dyDescent="0.25">
      <c r="A64" s="25"/>
      <c r="B64" s="12" t="str">
        <f>CONCATENATE("          ","6331"," - ","INDIRECT COSTS-AUXILIARY ORGAN")</f>
        <v xml:space="preserve">          6331 - INDIRECT COSTS-AUXILIARY ORGAN</v>
      </c>
      <c r="C64" s="12"/>
      <c r="D64" s="8"/>
      <c r="E64" s="3"/>
      <c r="F64" s="7">
        <f t="shared" si="8"/>
        <v>0</v>
      </c>
      <c r="G64" s="3"/>
      <c r="H64" s="8">
        <v>0</v>
      </c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89851</v>
      </c>
      <c r="Q64" s="3"/>
      <c r="R64" s="7">
        <f t="shared" si="12"/>
        <v>0</v>
      </c>
      <c r="S64" s="3"/>
      <c r="T64" s="8">
        <v>103000</v>
      </c>
      <c r="U64" s="3"/>
      <c r="V64" s="7">
        <f t="shared" si="13"/>
        <v>0</v>
      </c>
      <c r="W64" s="3"/>
      <c r="X64" s="8">
        <f t="shared" si="14"/>
        <v>-13149</v>
      </c>
      <c r="Y64" s="3"/>
      <c r="Z64" s="7">
        <f t="shared" si="15"/>
        <v>-0.12766019417475727</v>
      </c>
    </row>
    <row r="65" spans="1:26" s="70" customFormat="1" ht="15" hidden="1" customHeight="1" outlineLevel="2" x14ac:dyDescent="0.25">
      <c r="A65" s="25"/>
      <c r="B65" s="12" t="str">
        <f>CONCATENATE("          ","6332"," - ","CONSULTANT FEES")</f>
        <v xml:space="preserve">          6332 - CONSULTANT FEES</v>
      </c>
      <c r="C65" s="12"/>
      <c r="D65" s="8"/>
      <c r="E65" s="3"/>
      <c r="F65" s="7">
        <f t="shared" si="8"/>
        <v>0</v>
      </c>
      <c r="G65" s="3"/>
      <c r="H65" s="8">
        <v>0</v>
      </c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/>
      <c r="Q65" s="3"/>
      <c r="R65" s="7">
        <f t="shared" si="12"/>
        <v>0</v>
      </c>
      <c r="S65" s="3"/>
      <c r="T65" s="8">
        <v>19000</v>
      </c>
      <c r="U65" s="3"/>
      <c r="V65" s="7">
        <f t="shared" si="13"/>
        <v>0</v>
      </c>
      <c r="W65" s="3"/>
      <c r="X65" s="8">
        <f t="shared" si="14"/>
        <v>-19000</v>
      </c>
      <c r="Y65" s="3"/>
      <c r="Z65" s="7">
        <f t="shared" si="15"/>
        <v>-1</v>
      </c>
    </row>
    <row r="66" spans="1:26" s="70" customFormat="1" ht="15" hidden="1" customHeight="1" outlineLevel="2" x14ac:dyDescent="0.25">
      <c r="A66" s="25"/>
      <c r="B66" s="12" t="str">
        <f>CONCATENATE("          ","6334"," - ","LEGAL COUNCIL EXPENSE")</f>
        <v xml:space="preserve">          6334 - LEGAL COUNCIL EXPENSE</v>
      </c>
      <c r="C66" s="12"/>
      <c r="D66" s="8"/>
      <c r="E66" s="3"/>
      <c r="F66" s="7">
        <f t="shared" si="8"/>
        <v>0</v>
      </c>
      <c r="G66" s="3"/>
      <c r="H66" s="8">
        <v>1833</v>
      </c>
      <c r="I66" s="3"/>
      <c r="J66" s="7">
        <f t="shared" si="9"/>
        <v>0</v>
      </c>
      <c r="K66" s="3"/>
      <c r="L66" s="8">
        <f t="shared" si="10"/>
        <v>-1833</v>
      </c>
      <c r="M66" s="3"/>
      <c r="N66" s="7">
        <f t="shared" si="11"/>
        <v>-1</v>
      </c>
      <c r="O66" s="12"/>
      <c r="P66" s="8">
        <v>3455</v>
      </c>
      <c r="Q66" s="3"/>
      <c r="R66" s="7">
        <f t="shared" si="12"/>
        <v>0</v>
      </c>
      <c r="S66" s="3"/>
      <c r="T66" s="8">
        <v>13663</v>
      </c>
      <c r="U66" s="3"/>
      <c r="V66" s="7">
        <f t="shared" si="13"/>
        <v>0</v>
      </c>
      <c r="W66" s="3"/>
      <c r="X66" s="8">
        <f t="shared" si="14"/>
        <v>-10208</v>
      </c>
      <c r="Y66" s="3"/>
      <c r="Z66" s="7">
        <f t="shared" si="15"/>
        <v>-0.74712727805020862</v>
      </c>
    </row>
    <row r="67" spans="1:26" s="70" customFormat="1" ht="15" hidden="1" customHeight="1" outlineLevel="2" x14ac:dyDescent="0.25">
      <c r="A67" s="25"/>
      <c r="B67" s="12" t="str">
        <f>CONCATENATE("          ","6336"," - ","PROFESSIONAL SERVICES")</f>
        <v xml:space="preserve">          6336 - PROFESSIONAL SERVICES</v>
      </c>
      <c r="C67" s="12"/>
      <c r="D67" s="8">
        <v>8406.75</v>
      </c>
      <c r="E67" s="3"/>
      <c r="F67" s="7">
        <f t="shared" si="8"/>
        <v>0</v>
      </c>
      <c r="G67" s="3"/>
      <c r="H67" s="8">
        <v>833</v>
      </c>
      <c r="I67" s="3"/>
      <c r="J67" s="7">
        <f t="shared" si="9"/>
        <v>0</v>
      </c>
      <c r="K67" s="3"/>
      <c r="L67" s="8">
        <f t="shared" si="10"/>
        <v>7573.75</v>
      </c>
      <c r="M67" s="3"/>
      <c r="N67" s="7">
        <f t="shared" si="11"/>
        <v>9.0921368547418968</v>
      </c>
      <c r="O67" s="12"/>
      <c r="P67" s="8">
        <v>25039.64</v>
      </c>
      <c r="Q67" s="3"/>
      <c r="R67" s="7">
        <f t="shared" si="12"/>
        <v>0</v>
      </c>
      <c r="S67" s="3"/>
      <c r="T67" s="8">
        <v>14163</v>
      </c>
      <c r="U67" s="3"/>
      <c r="V67" s="7">
        <f t="shared" si="13"/>
        <v>0</v>
      </c>
      <c r="W67" s="3"/>
      <c r="X67" s="8">
        <f t="shared" si="14"/>
        <v>10876.64</v>
      </c>
      <c r="Y67" s="3"/>
      <c r="Z67" s="7">
        <f t="shared" si="15"/>
        <v>0.76796159005860332</v>
      </c>
    </row>
    <row r="68" spans="1:26" s="69" customFormat="1" ht="15" customHeight="1" outlineLevel="1" collapsed="1" x14ac:dyDescent="0.25">
      <c r="A68" s="26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SUM(OSRRefD22_13x_0)</f>
        <v>27449.97</v>
      </c>
      <c r="E68" s="2"/>
      <c r="F68" s="6">
        <f t="shared" si="8"/>
        <v>0</v>
      </c>
      <c r="G68" s="2"/>
      <c r="H68" s="2">
        <f>SUM(OSRRefH22_13x_0)</f>
        <v>22307</v>
      </c>
      <c r="I68" s="2"/>
      <c r="J68" s="6">
        <f t="shared" si="9"/>
        <v>0</v>
      </c>
      <c r="K68" s="2"/>
      <c r="L68" s="2">
        <f t="shared" si="10"/>
        <v>5142.9700000000012</v>
      </c>
      <c r="M68" s="2"/>
      <c r="N68" s="6">
        <f t="shared" si="11"/>
        <v>0.23055408616129472</v>
      </c>
      <c r="O68" s="14"/>
      <c r="P68" s="2">
        <f>SUM(OSRRefP22_13x_0)</f>
        <v>268163.81</v>
      </c>
      <c r="Q68" s="2"/>
      <c r="R68" s="6">
        <f t="shared" si="12"/>
        <v>0</v>
      </c>
      <c r="S68" s="2"/>
      <c r="T68" s="2">
        <f>SUM(OSRRefT22_13x_0)</f>
        <v>285977</v>
      </c>
      <c r="U68" s="2"/>
      <c r="V68" s="6">
        <f t="shared" si="13"/>
        <v>0</v>
      </c>
      <c r="W68" s="2"/>
      <c r="X68" s="2">
        <f t="shared" si="14"/>
        <v>-17813.190000000002</v>
      </c>
      <c r="Y68" s="2"/>
      <c r="Z68" s="6">
        <f t="shared" si="15"/>
        <v>-6.2288890365309109E-2</v>
      </c>
    </row>
    <row r="69" spans="1:26" s="70" customFormat="1" ht="15" hidden="1" customHeight="1" outlineLevel="2" x14ac:dyDescent="0.25">
      <c r="A69" s="25"/>
      <c r="B69" s="12" t="str">
        <f>CONCATENATE("          ","6371"," - ","COMPUTER SOFTWARE MAINTENANCE")</f>
        <v xml:space="preserve">          6371 - COMPUTER SOFTWARE MAINTENANCE</v>
      </c>
      <c r="C69" s="12"/>
      <c r="D69" s="8">
        <v>13805.4</v>
      </c>
      <c r="E69" s="3"/>
      <c r="F69" s="7">
        <f t="shared" si="8"/>
        <v>0</v>
      </c>
      <c r="G69" s="3"/>
      <c r="H69" s="8">
        <v>9600</v>
      </c>
      <c r="I69" s="3"/>
      <c r="J69" s="7">
        <f t="shared" si="9"/>
        <v>0</v>
      </c>
      <c r="K69" s="3"/>
      <c r="L69" s="8">
        <f t="shared" si="10"/>
        <v>4205.3999999999996</v>
      </c>
      <c r="M69" s="3"/>
      <c r="N69" s="7">
        <f t="shared" si="11"/>
        <v>0.43806249999999997</v>
      </c>
      <c r="O69" s="12"/>
      <c r="P69" s="8">
        <v>119267.9</v>
      </c>
      <c r="Q69" s="3"/>
      <c r="R69" s="7">
        <f t="shared" si="12"/>
        <v>0</v>
      </c>
      <c r="S69" s="3"/>
      <c r="T69" s="8">
        <v>139600</v>
      </c>
      <c r="U69" s="3"/>
      <c r="V69" s="7">
        <f t="shared" si="13"/>
        <v>0</v>
      </c>
      <c r="W69" s="3"/>
      <c r="X69" s="8">
        <f t="shared" si="14"/>
        <v>-20332.100000000006</v>
      </c>
      <c r="Y69" s="3"/>
      <c r="Z69" s="7">
        <f t="shared" si="15"/>
        <v>-0.1456454154727794</v>
      </c>
    </row>
    <row r="70" spans="1:26" s="70" customFormat="1" ht="15" hidden="1" customHeight="1" outlineLevel="2" x14ac:dyDescent="0.25">
      <c r="A70" s="25"/>
      <c r="B70" s="12" t="str">
        <f>CONCATENATE("          ","6372"," - ","COMPUTER HARDWARE MAINTENANCE")</f>
        <v xml:space="preserve">          6372 - COMPUTER HARDWARE MAINTENANCE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4760.47</v>
      </c>
      <c r="Q70" s="3"/>
      <c r="R70" s="7">
        <f t="shared" si="12"/>
        <v>0</v>
      </c>
      <c r="S70" s="3"/>
      <c r="T70" s="8">
        <v>3000</v>
      </c>
      <c r="U70" s="3"/>
      <c r="V70" s="7">
        <f t="shared" si="13"/>
        <v>0</v>
      </c>
      <c r="W70" s="3"/>
      <c r="X70" s="8">
        <f t="shared" si="14"/>
        <v>1760.4700000000003</v>
      </c>
      <c r="Y70" s="3"/>
      <c r="Z70" s="7">
        <f t="shared" si="15"/>
        <v>0.58682333333333336</v>
      </c>
    </row>
    <row r="71" spans="1:26" s="70" customFormat="1" ht="15" hidden="1" customHeight="1" outlineLevel="2" x14ac:dyDescent="0.25">
      <c r="A71" s="25"/>
      <c r="B71" s="12" t="str">
        <f>CONCATENATE("          ","6373"," - ","MAINTENANCE CONTRACTS")</f>
        <v xml:space="preserve">          6373 - MAINTENANCE CONTRACTS</v>
      </c>
      <c r="C71" s="12"/>
      <c r="D71" s="8">
        <v>13554.57</v>
      </c>
      <c r="E71" s="3"/>
      <c r="F71" s="7">
        <f t="shared" si="8"/>
        <v>0</v>
      </c>
      <c r="G71" s="3"/>
      <c r="H71" s="8">
        <v>12557</v>
      </c>
      <c r="I71" s="3"/>
      <c r="J71" s="7">
        <f t="shared" si="9"/>
        <v>0</v>
      </c>
      <c r="K71" s="3"/>
      <c r="L71" s="8">
        <f t="shared" si="10"/>
        <v>997.56999999999971</v>
      </c>
      <c r="M71" s="3"/>
      <c r="N71" s="7">
        <f t="shared" si="11"/>
        <v>7.9443338377000849E-2</v>
      </c>
      <c r="O71" s="12"/>
      <c r="P71" s="8">
        <v>142190.75</v>
      </c>
      <c r="Q71" s="3"/>
      <c r="R71" s="7">
        <f t="shared" si="12"/>
        <v>0</v>
      </c>
      <c r="S71" s="3"/>
      <c r="T71" s="8">
        <v>141727</v>
      </c>
      <c r="U71" s="3"/>
      <c r="V71" s="7">
        <f t="shared" si="13"/>
        <v>0</v>
      </c>
      <c r="W71" s="3"/>
      <c r="X71" s="8">
        <f t="shared" si="14"/>
        <v>463.75</v>
      </c>
      <c r="Y71" s="3"/>
      <c r="Z71" s="7">
        <f t="shared" si="15"/>
        <v>3.2721358668425919E-3</v>
      </c>
    </row>
    <row r="72" spans="1:26" s="70" customFormat="1" ht="15" hidden="1" customHeight="1" outlineLevel="2" x14ac:dyDescent="0.25">
      <c r="A72" s="25"/>
      <c r="B72" s="12" t="str">
        <f>CONCATENATE("          ","6375"," - ","OUTSIDE REPAIRS &amp; MAINTENANCE")</f>
        <v xml:space="preserve">          6375 - OUTSIDE REPAIRS &amp; MAINTENANCE</v>
      </c>
      <c r="C72" s="12"/>
      <c r="D72" s="8">
        <v>90</v>
      </c>
      <c r="E72" s="3"/>
      <c r="F72" s="7">
        <f t="shared" si="8"/>
        <v>0</v>
      </c>
      <c r="G72" s="3"/>
      <c r="H72" s="8">
        <v>150</v>
      </c>
      <c r="I72" s="3"/>
      <c r="J72" s="7">
        <f t="shared" si="9"/>
        <v>0</v>
      </c>
      <c r="K72" s="3"/>
      <c r="L72" s="8">
        <f t="shared" si="10"/>
        <v>-60</v>
      </c>
      <c r="M72" s="3"/>
      <c r="N72" s="7">
        <f t="shared" si="11"/>
        <v>-0.4</v>
      </c>
      <c r="O72" s="12"/>
      <c r="P72" s="8">
        <v>1944.69</v>
      </c>
      <c r="Q72" s="3"/>
      <c r="R72" s="7">
        <f t="shared" si="12"/>
        <v>0</v>
      </c>
      <c r="S72" s="3"/>
      <c r="T72" s="8">
        <v>1650</v>
      </c>
      <c r="U72" s="3"/>
      <c r="V72" s="7">
        <f t="shared" si="13"/>
        <v>0</v>
      </c>
      <c r="W72" s="3"/>
      <c r="X72" s="8">
        <f t="shared" si="14"/>
        <v>294.69000000000005</v>
      </c>
      <c r="Y72" s="3"/>
      <c r="Z72" s="7">
        <f t="shared" si="15"/>
        <v>0.17860000000000004</v>
      </c>
    </row>
    <row r="73" spans="1:26" s="69" customFormat="1" ht="15" customHeight="1" outlineLevel="1" collapsed="1" x14ac:dyDescent="0.25">
      <c r="A73" s="26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SUM(OSRRefD22_14x_0)</f>
        <v>961.14</v>
      </c>
      <c r="E73" s="2"/>
      <c r="F73" s="6">
        <f t="shared" si="8"/>
        <v>0</v>
      </c>
      <c r="G73" s="2"/>
      <c r="H73" s="2">
        <f>SUM(OSRRefH22_14x_0)</f>
        <v>650</v>
      </c>
      <c r="I73" s="2"/>
      <c r="J73" s="6">
        <f t="shared" si="9"/>
        <v>0</v>
      </c>
      <c r="K73" s="2"/>
      <c r="L73" s="2">
        <f t="shared" si="10"/>
        <v>311.14</v>
      </c>
      <c r="M73" s="2"/>
      <c r="N73" s="6">
        <f t="shared" si="11"/>
        <v>0.47867692307692306</v>
      </c>
      <c r="O73" s="14"/>
      <c r="P73" s="2">
        <f>SUM(OSRRefP22_14x_0)</f>
        <v>9065.82</v>
      </c>
      <c r="Q73" s="2"/>
      <c r="R73" s="6">
        <f t="shared" si="12"/>
        <v>0</v>
      </c>
      <c r="S73" s="2"/>
      <c r="T73" s="2">
        <f>SUM(OSRRefT22_14x_0)</f>
        <v>7150</v>
      </c>
      <c r="U73" s="2"/>
      <c r="V73" s="6">
        <f t="shared" si="13"/>
        <v>0</v>
      </c>
      <c r="W73" s="2"/>
      <c r="X73" s="2">
        <f t="shared" si="14"/>
        <v>1915.8199999999997</v>
      </c>
      <c r="Y73" s="2"/>
      <c r="Z73" s="6">
        <f t="shared" si="15"/>
        <v>0.26794685314685313</v>
      </c>
    </row>
    <row r="74" spans="1:26" s="70" customFormat="1" ht="15" hidden="1" customHeight="1" outlineLevel="2" x14ac:dyDescent="0.25">
      <c r="A74" s="25"/>
      <c r="B74" s="12" t="str">
        <f>CONCATENATE("          ","6281"," - ","STORAGE FEE")</f>
        <v xml:space="preserve">          6281 - STORAGE FEE</v>
      </c>
      <c r="C74" s="12"/>
      <c r="D74" s="8">
        <v>961.14</v>
      </c>
      <c r="E74" s="3"/>
      <c r="F74" s="7">
        <f t="shared" si="8"/>
        <v>0</v>
      </c>
      <c r="G74" s="3"/>
      <c r="H74" s="8">
        <v>625</v>
      </c>
      <c r="I74" s="3"/>
      <c r="J74" s="7">
        <f t="shared" si="9"/>
        <v>0</v>
      </c>
      <c r="K74" s="3"/>
      <c r="L74" s="8">
        <f t="shared" si="10"/>
        <v>336.14</v>
      </c>
      <c r="M74" s="3"/>
      <c r="N74" s="7">
        <f t="shared" si="11"/>
        <v>0.53782399999999997</v>
      </c>
      <c r="O74" s="12"/>
      <c r="P74" s="8">
        <v>9065.82</v>
      </c>
      <c r="Q74" s="3"/>
      <c r="R74" s="7">
        <f t="shared" si="12"/>
        <v>0</v>
      </c>
      <c r="S74" s="3"/>
      <c r="T74" s="8">
        <v>6875</v>
      </c>
      <c r="U74" s="3"/>
      <c r="V74" s="7">
        <f t="shared" si="13"/>
        <v>0</v>
      </c>
      <c r="W74" s="3"/>
      <c r="X74" s="8">
        <f t="shared" si="14"/>
        <v>2190.8199999999997</v>
      </c>
      <c r="Y74" s="3"/>
      <c r="Z74" s="7">
        <f t="shared" si="15"/>
        <v>0.31866472727272721</v>
      </c>
    </row>
    <row r="75" spans="1:26" s="70" customFormat="1" ht="15" hidden="1" customHeight="1" outlineLevel="2" x14ac:dyDescent="0.25">
      <c r="A75" s="25"/>
      <c r="B75" s="12" t="str">
        <f>CONCATENATE("          ","6286"," - ","LAUNDRY EXPENSE")</f>
        <v xml:space="preserve">          6286 - LAUNDRY EXPENSE</v>
      </c>
      <c r="C75" s="12"/>
      <c r="D75" s="8"/>
      <c r="E75" s="3"/>
      <c r="F75" s="7">
        <f t="shared" si="8"/>
        <v>0</v>
      </c>
      <c r="G75" s="3"/>
      <c r="H75" s="8">
        <v>25</v>
      </c>
      <c r="I75" s="3"/>
      <c r="J75" s="7">
        <f t="shared" si="9"/>
        <v>0</v>
      </c>
      <c r="K75" s="3"/>
      <c r="L75" s="8">
        <f t="shared" si="10"/>
        <v>-25</v>
      </c>
      <c r="M75" s="3"/>
      <c r="N75" s="7">
        <f t="shared" si="11"/>
        <v>-1</v>
      </c>
      <c r="O75" s="12"/>
      <c r="P75" s="8"/>
      <c r="Q75" s="3"/>
      <c r="R75" s="7">
        <f t="shared" si="12"/>
        <v>0</v>
      </c>
      <c r="S75" s="3"/>
      <c r="T75" s="8">
        <v>275</v>
      </c>
      <c r="U75" s="3"/>
      <c r="V75" s="7">
        <f t="shared" si="13"/>
        <v>0</v>
      </c>
      <c r="W75" s="3"/>
      <c r="X75" s="8">
        <f t="shared" si="14"/>
        <v>-275</v>
      </c>
      <c r="Y75" s="3"/>
      <c r="Z75" s="7">
        <f t="shared" si="15"/>
        <v>-1</v>
      </c>
    </row>
    <row r="76" spans="1:26" s="69" customFormat="1" ht="15" customHeight="1" outlineLevel="1" collapsed="1" x14ac:dyDescent="0.25">
      <c r="A76" s="26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2">
        <f>SUM(OSRRefD22_15x_0)</f>
        <v>0</v>
      </c>
      <c r="E76" s="2"/>
      <c r="F76" s="6">
        <f t="shared" si="8"/>
        <v>0</v>
      </c>
      <c r="G76" s="2"/>
      <c r="H76" s="2">
        <f>SUM(OSRRefH22_15x_0)</f>
        <v>1550</v>
      </c>
      <c r="I76" s="2"/>
      <c r="J76" s="6">
        <f t="shared" si="9"/>
        <v>0</v>
      </c>
      <c r="K76" s="2"/>
      <c r="L76" s="2">
        <f t="shared" si="10"/>
        <v>-1550</v>
      </c>
      <c r="M76" s="2"/>
      <c r="N76" s="6">
        <f t="shared" si="11"/>
        <v>-1</v>
      </c>
      <c r="O76" s="14"/>
      <c r="P76" s="2">
        <f>SUM(OSRRefP22_15x_0)</f>
        <v>8352.9</v>
      </c>
      <c r="Q76" s="2"/>
      <c r="R76" s="6">
        <f t="shared" si="12"/>
        <v>0</v>
      </c>
      <c r="S76" s="2"/>
      <c r="T76" s="2">
        <f>SUM(OSRRefT22_15x_0)</f>
        <v>10043</v>
      </c>
      <c r="U76" s="2"/>
      <c r="V76" s="6">
        <f t="shared" si="13"/>
        <v>0</v>
      </c>
      <c r="W76" s="2"/>
      <c r="X76" s="2">
        <f t="shared" si="14"/>
        <v>-1690.1000000000004</v>
      </c>
      <c r="Y76" s="2"/>
      <c r="Z76" s="6">
        <f t="shared" si="15"/>
        <v>-0.16828636861495572</v>
      </c>
    </row>
    <row r="77" spans="1:26" s="70" customFormat="1" ht="15" hidden="1" customHeight="1" outlineLevel="2" x14ac:dyDescent="0.25">
      <c r="A77" s="25"/>
      <c r="B77" s="12" t="str">
        <f>CONCATENATE("          ","6258"," - ","MEMBERSHIP DUES")</f>
        <v xml:space="preserve">          6258 - MEMBERSHIP DUES</v>
      </c>
      <c r="C77" s="12"/>
      <c r="D77" s="8"/>
      <c r="E77" s="3"/>
      <c r="F77" s="7">
        <f t="shared" si="8"/>
        <v>0</v>
      </c>
      <c r="G77" s="3"/>
      <c r="H77" s="8">
        <v>1550</v>
      </c>
      <c r="I77" s="3"/>
      <c r="J77" s="7">
        <f t="shared" si="9"/>
        <v>0</v>
      </c>
      <c r="K77" s="3"/>
      <c r="L77" s="8">
        <f t="shared" si="10"/>
        <v>-1550</v>
      </c>
      <c r="M77" s="3"/>
      <c r="N77" s="7">
        <f t="shared" si="11"/>
        <v>-1</v>
      </c>
      <c r="O77" s="12"/>
      <c r="P77" s="8">
        <v>7074</v>
      </c>
      <c r="Q77" s="3"/>
      <c r="R77" s="7">
        <f t="shared" si="12"/>
        <v>0</v>
      </c>
      <c r="S77" s="3"/>
      <c r="T77" s="8">
        <v>9443</v>
      </c>
      <c r="U77" s="3"/>
      <c r="V77" s="7">
        <f t="shared" si="13"/>
        <v>0</v>
      </c>
      <c r="W77" s="3"/>
      <c r="X77" s="8">
        <f t="shared" si="14"/>
        <v>-2369</v>
      </c>
      <c r="Y77" s="3"/>
      <c r="Z77" s="7">
        <f t="shared" si="15"/>
        <v>-0.25087366303081648</v>
      </c>
    </row>
    <row r="78" spans="1:26" s="70" customFormat="1" ht="15" hidden="1" customHeight="1" outlineLevel="2" x14ac:dyDescent="0.25">
      <c r="A78" s="25"/>
      <c r="B78" s="12" t="str">
        <f>CONCATENATE("          ","6275"," - ","SUBSCRIPTIONS")</f>
        <v xml:space="preserve">          6275 - SUBSCRIPTIONS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1278.9000000000001</v>
      </c>
      <c r="Q78" s="3"/>
      <c r="R78" s="7">
        <f t="shared" si="12"/>
        <v>0</v>
      </c>
      <c r="S78" s="3"/>
      <c r="T78" s="8">
        <v>600</v>
      </c>
      <c r="U78" s="3"/>
      <c r="V78" s="7">
        <f t="shared" si="13"/>
        <v>0</v>
      </c>
      <c r="W78" s="3"/>
      <c r="X78" s="8">
        <f t="shared" si="14"/>
        <v>678.90000000000009</v>
      </c>
      <c r="Y78" s="3"/>
      <c r="Z78" s="7">
        <f t="shared" si="15"/>
        <v>1.1315000000000002</v>
      </c>
    </row>
    <row r="79" spans="1:26" s="69" customFormat="1" ht="15" customHeight="1" outlineLevel="1" collapsed="1" x14ac:dyDescent="0.25">
      <c r="A79" s="26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SUM(OSRRefD22_16x_0)</f>
        <v>771.82</v>
      </c>
      <c r="E79" s="2"/>
      <c r="F79" s="6">
        <f t="shared" si="8"/>
        <v>0</v>
      </c>
      <c r="G79" s="2"/>
      <c r="H79" s="2">
        <f>SUM(OSRRefH22_16x_0)</f>
        <v>2784</v>
      </c>
      <c r="I79" s="2"/>
      <c r="J79" s="6">
        <f t="shared" si="9"/>
        <v>0</v>
      </c>
      <c r="K79" s="2"/>
      <c r="L79" s="2">
        <f t="shared" si="10"/>
        <v>-2012.1799999999998</v>
      </c>
      <c r="M79" s="2"/>
      <c r="N79" s="6">
        <f t="shared" si="11"/>
        <v>-0.72276580459770112</v>
      </c>
      <c r="O79" s="14"/>
      <c r="P79" s="2">
        <f>SUM(OSRRefP22_16x_0)</f>
        <v>45884.619999999995</v>
      </c>
      <c r="Q79" s="2"/>
      <c r="R79" s="6">
        <f t="shared" si="12"/>
        <v>0</v>
      </c>
      <c r="S79" s="2"/>
      <c r="T79" s="2">
        <f>SUM(OSRRefT22_16x_0)</f>
        <v>35624</v>
      </c>
      <c r="U79" s="2"/>
      <c r="V79" s="6">
        <f t="shared" si="13"/>
        <v>0</v>
      </c>
      <c r="W79" s="2"/>
      <c r="X79" s="2">
        <f t="shared" si="14"/>
        <v>10260.619999999995</v>
      </c>
      <c r="Y79" s="2"/>
      <c r="Z79" s="6">
        <f t="shared" si="15"/>
        <v>0.28802548843476294</v>
      </c>
    </row>
    <row r="80" spans="1:26" s="70" customFormat="1" ht="15" hidden="1" customHeight="1" outlineLevel="2" x14ac:dyDescent="0.25">
      <c r="A80" s="25"/>
      <c r="B80" s="12" t="str">
        <f>CONCATENATE("          ","6234"," - ","EXPENDABLE SUPPLIES &amp; EQUIPMEN")</f>
        <v xml:space="preserve">          6234 - EXPENDABLE SUPPLIES &amp; EQUIPMEN</v>
      </c>
      <c r="C80" s="12"/>
      <c r="D80" s="8">
        <v>171.99</v>
      </c>
      <c r="E80" s="3"/>
      <c r="F80" s="7">
        <f t="shared" si="8"/>
        <v>0</v>
      </c>
      <c r="G80" s="3"/>
      <c r="H80" s="8">
        <v>125</v>
      </c>
      <c r="I80" s="3"/>
      <c r="J80" s="7">
        <f t="shared" si="9"/>
        <v>0</v>
      </c>
      <c r="K80" s="3"/>
      <c r="L80" s="8">
        <f t="shared" si="10"/>
        <v>46.990000000000009</v>
      </c>
      <c r="M80" s="3"/>
      <c r="N80" s="7">
        <f t="shared" si="11"/>
        <v>0.37592000000000009</v>
      </c>
      <c r="O80" s="12"/>
      <c r="P80" s="8">
        <v>2895.51</v>
      </c>
      <c r="Q80" s="3"/>
      <c r="R80" s="7">
        <f t="shared" si="12"/>
        <v>0</v>
      </c>
      <c r="S80" s="3"/>
      <c r="T80" s="8">
        <v>1375</v>
      </c>
      <c r="U80" s="3"/>
      <c r="V80" s="7">
        <f t="shared" si="13"/>
        <v>0</v>
      </c>
      <c r="W80" s="3"/>
      <c r="X80" s="8">
        <f t="shared" si="14"/>
        <v>1520.5100000000002</v>
      </c>
      <c r="Y80" s="3"/>
      <c r="Z80" s="7">
        <f t="shared" si="15"/>
        <v>1.1058254545454547</v>
      </c>
    </row>
    <row r="81" spans="1:26" s="70" customFormat="1" ht="15" hidden="1" customHeight="1" outlineLevel="2" x14ac:dyDescent="0.25">
      <c r="A81" s="25"/>
      <c r="B81" s="12" t="str">
        <f>CONCATENATE("          ","6235"," - ","COVID-19 EXPENSES")</f>
        <v xml:space="preserve">          6235 - COVID-19 EXPENSES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2636.13</v>
      </c>
      <c r="Q81" s="3"/>
      <c r="R81" s="7">
        <f t="shared" si="12"/>
        <v>0</v>
      </c>
      <c r="S81" s="3"/>
      <c r="T81" s="8"/>
      <c r="U81" s="3"/>
      <c r="V81" s="7">
        <f t="shared" si="13"/>
        <v>0</v>
      </c>
      <c r="W81" s="3"/>
      <c r="X81" s="8">
        <f t="shared" si="14"/>
        <v>2636.13</v>
      </c>
      <c r="Y81" s="3"/>
      <c r="Z81" s="7">
        <f t="shared" si="15"/>
        <v>0</v>
      </c>
    </row>
    <row r="82" spans="1:26" s="70" customFormat="1" ht="15" hidden="1" customHeight="1" outlineLevel="2" x14ac:dyDescent="0.25">
      <c r="A82" s="25"/>
      <c r="B82" s="12" t="str">
        <f>CONCATENATE("          ","6241"," - ","OFFICE EXPENSE")</f>
        <v xml:space="preserve">          6241 - OFFICE EXPENSE</v>
      </c>
      <c r="C82" s="12"/>
      <c r="D82" s="8">
        <v>507.47</v>
      </c>
      <c r="E82" s="3"/>
      <c r="F82" s="7">
        <f t="shared" ref="F82:F93" si="16">IF(D$12=0,0,D82/D$12)</f>
        <v>0</v>
      </c>
      <c r="G82" s="3"/>
      <c r="H82" s="8">
        <v>2242</v>
      </c>
      <c r="I82" s="3"/>
      <c r="J82" s="7">
        <f t="shared" ref="J82:J93" si="17">IF(H$12=0,0,H82/H$12)</f>
        <v>0</v>
      </c>
      <c r="K82" s="3"/>
      <c r="L82" s="8">
        <f t="shared" ref="L82:L93" si="18">+D82-H82</f>
        <v>-1734.53</v>
      </c>
      <c r="M82" s="3"/>
      <c r="N82" s="7">
        <f t="shared" ref="N82:N93" si="19">IF(H82=0,0,L82/H82)</f>
        <v>-0.77365298840321139</v>
      </c>
      <c r="O82" s="12"/>
      <c r="P82" s="8">
        <v>27253.19</v>
      </c>
      <c r="Q82" s="3"/>
      <c r="R82" s="7">
        <f t="shared" ref="R82:R93" si="20">IF(P$12=0,0,P82/P$12)</f>
        <v>0</v>
      </c>
      <c r="S82" s="3"/>
      <c r="T82" s="8">
        <v>24662</v>
      </c>
      <c r="U82" s="3"/>
      <c r="V82" s="7">
        <f t="shared" ref="V82:V93" si="21">IF(T$12=0,0,T82/T$12)</f>
        <v>0</v>
      </c>
      <c r="W82" s="3"/>
      <c r="X82" s="8">
        <f t="shared" ref="X82:X93" si="22">+P82-T82</f>
        <v>2591.1899999999987</v>
      </c>
      <c r="Y82" s="3"/>
      <c r="Z82" s="7">
        <f t="shared" ref="Z82:Z93" si="23">IF(T82=0,0,X82/T82)</f>
        <v>0.10506812099586403</v>
      </c>
    </row>
    <row r="83" spans="1:26" s="70" customFormat="1" ht="15" hidden="1" customHeight="1" outlineLevel="2" x14ac:dyDescent="0.25">
      <c r="A83" s="25"/>
      <c r="B83" s="12" t="str">
        <f>CONCATENATE("          ","6244"," - ","SAFETY SUPPLY EXPENSE")</f>
        <v xml:space="preserve">          6244 - SAFETY SUPPLY EXPENSE</v>
      </c>
      <c r="C83" s="12"/>
      <c r="D83" s="8">
        <v>92.36</v>
      </c>
      <c r="E83" s="3"/>
      <c r="F83" s="7">
        <f t="shared" si="16"/>
        <v>0</v>
      </c>
      <c r="G83" s="3"/>
      <c r="H83" s="8">
        <v>417</v>
      </c>
      <c r="I83" s="3"/>
      <c r="J83" s="7">
        <f t="shared" si="17"/>
        <v>0</v>
      </c>
      <c r="K83" s="3"/>
      <c r="L83" s="8">
        <f t="shared" si="18"/>
        <v>-324.64</v>
      </c>
      <c r="M83" s="3"/>
      <c r="N83" s="7">
        <f t="shared" si="19"/>
        <v>-0.77851318944844117</v>
      </c>
      <c r="O83" s="12"/>
      <c r="P83" s="8">
        <v>1253.6300000000001</v>
      </c>
      <c r="Q83" s="3"/>
      <c r="R83" s="7">
        <f t="shared" si="20"/>
        <v>0</v>
      </c>
      <c r="S83" s="3"/>
      <c r="T83" s="8">
        <v>4587</v>
      </c>
      <c r="U83" s="3"/>
      <c r="V83" s="7">
        <f t="shared" si="21"/>
        <v>0</v>
      </c>
      <c r="W83" s="3"/>
      <c r="X83" s="8">
        <f t="shared" si="22"/>
        <v>-3333.37</v>
      </c>
      <c r="Y83" s="3"/>
      <c r="Z83" s="7">
        <f t="shared" si="23"/>
        <v>-0.72669936777850441</v>
      </c>
    </row>
    <row r="84" spans="1:26" s="70" customFormat="1" ht="15" hidden="1" customHeight="1" outlineLevel="2" x14ac:dyDescent="0.25">
      <c r="A84" s="25"/>
      <c r="B84" s="12" t="str">
        <f>CONCATENATE("          ","6247"," - ","STORE SUPPLIES")</f>
        <v xml:space="preserve">          6247 - STORE SUPPLIES</v>
      </c>
      <c r="C84" s="12"/>
      <c r="D84" s="8"/>
      <c r="E84" s="3"/>
      <c r="F84" s="7">
        <f t="shared" si="16"/>
        <v>0</v>
      </c>
      <c r="G84" s="3"/>
      <c r="H84" s="8"/>
      <c r="I84" s="3"/>
      <c r="J84" s="7">
        <f t="shared" si="17"/>
        <v>0</v>
      </c>
      <c r="K84" s="3"/>
      <c r="L84" s="8">
        <f t="shared" si="18"/>
        <v>0</v>
      </c>
      <c r="M84" s="3"/>
      <c r="N84" s="7">
        <f t="shared" si="19"/>
        <v>0</v>
      </c>
      <c r="O84" s="12"/>
      <c r="P84" s="8"/>
      <c r="Q84" s="3"/>
      <c r="R84" s="7">
        <f t="shared" si="20"/>
        <v>0</v>
      </c>
      <c r="S84" s="3"/>
      <c r="T84" s="8">
        <v>5000</v>
      </c>
      <c r="U84" s="3"/>
      <c r="V84" s="7">
        <f t="shared" si="21"/>
        <v>0</v>
      </c>
      <c r="W84" s="3"/>
      <c r="X84" s="8">
        <f t="shared" si="22"/>
        <v>-5000</v>
      </c>
      <c r="Y84" s="3"/>
      <c r="Z84" s="7">
        <f t="shared" si="23"/>
        <v>-1</v>
      </c>
    </row>
    <row r="85" spans="1:26" s="70" customFormat="1" ht="15" hidden="1" customHeight="1" outlineLevel="2" x14ac:dyDescent="0.25">
      <c r="A85" s="25"/>
      <c r="B85" s="12" t="str">
        <f>CONCATENATE("          ","6248"," - ","UNIFORMS")</f>
        <v xml:space="preserve">          6248 - UNIFORMS</v>
      </c>
      <c r="C85" s="12"/>
      <c r="D85" s="8"/>
      <c r="E85" s="3"/>
      <c r="F85" s="7">
        <f t="shared" si="16"/>
        <v>0</v>
      </c>
      <c r="G85" s="3"/>
      <c r="H85" s="8"/>
      <c r="I85" s="3"/>
      <c r="J85" s="7">
        <f t="shared" si="17"/>
        <v>0</v>
      </c>
      <c r="K85" s="3"/>
      <c r="L85" s="8">
        <f t="shared" si="18"/>
        <v>0</v>
      </c>
      <c r="M85" s="3"/>
      <c r="N85" s="7">
        <f t="shared" si="19"/>
        <v>0</v>
      </c>
      <c r="O85" s="12"/>
      <c r="P85" s="8">
        <v>11846.16</v>
      </c>
      <c r="Q85" s="3"/>
      <c r="R85" s="7">
        <f t="shared" si="20"/>
        <v>0</v>
      </c>
      <c r="S85" s="3"/>
      <c r="T85" s="8"/>
      <c r="U85" s="3"/>
      <c r="V85" s="7">
        <f t="shared" si="21"/>
        <v>0</v>
      </c>
      <c r="W85" s="3"/>
      <c r="X85" s="8">
        <f t="shared" si="22"/>
        <v>11846.16</v>
      </c>
      <c r="Y85" s="3"/>
      <c r="Z85" s="7">
        <f t="shared" si="23"/>
        <v>0</v>
      </c>
    </row>
    <row r="86" spans="1:26" s="69" customFormat="1" ht="15" customHeight="1" outlineLevel="1" collapsed="1" x14ac:dyDescent="0.25">
      <c r="A86" s="26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SUM(OSRRefD22_17x_0)</f>
        <v>2325.11</v>
      </c>
      <c r="E86" s="2"/>
      <c r="F86" s="6">
        <f t="shared" si="16"/>
        <v>0</v>
      </c>
      <c r="G86" s="2"/>
      <c r="H86" s="2">
        <f>SUM(OSRRefH22_17x_0)</f>
        <v>1905</v>
      </c>
      <c r="I86" s="2"/>
      <c r="J86" s="6">
        <f t="shared" si="17"/>
        <v>0</v>
      </c>
      <c r="K86" s="2"/>
      <c r="L86" s="2">
        <f t="shared" si="18"/>
        <v>420.11000000000013</v>
      </c>
      <c r="M86" s="2"/>
      <c r="N86" s="6">
        <f t="shared" si="19"/>
        <v>0.2205301837270342</v>
      </c>
      <c r="O86" s="14"/>
      <c r="P86" s="2">
        <f>SUM(OSRRefP22_17x_0)</f>
        <v>26269.83</v>
      </c>
      <c r="Q86" s="2"/>
      <c r="R86" s="6">
        <f t="shared" si="20"/>
        <v>0</v>
      </c>
      <c r="S86" s="2"/>
      <c r="T86" s="2">
        <f>SUM(OSRRefT22_17x_0)</f>
        <v>19955</v>
      </c>
      <c r="U86" s="2"/>
      <c r="V86" s="6">
        <f t="shared" si="21"/>
        <v>0</v>
      </c>
      <c r="W86" s="2"/>
      <c r="X86" s="2">
        <f t="shared" si="22"/>
        <v>6314.8300000000017</v>
      </c>
      <c r="Y86" s="2"/>
      <c r="Z86" s="6">
        <f t="shared" si="23"/>
        <v>0.31645352042094721</v>
      </c>
    </row>
    <row r="87" spans="1:26" s="70" customFormat="1" ht="15" hidden="1" customHeight="1" outlineLevel="2" x14ac:dyDescent="0.25">
      <c r="A87" s="25"/>
      <c r="B87" s="12" t="str">
        <f>CONCATENATE("          ","6303"," - ","DATA PHONE LINES")</f>
        <v xml:space="preserve">          6303 - DATA PHONE LINES</v>
      </c>
      <c r="C87" s="12"/>
      <c r="D87" s="8">
        <v>176.98</v>
      </c>
      <c r="E87" s="3"/>
      <c r="F87" s="7">
        <f t="shared" si="16"/>
        <v>0</v>
      </c>
      <c r="G87" s="3"/>
      <c r="H87" s="8">
        <v>336</v>
      </c>
      <c r="I87" s="3"/>
      <c r="J87" s="7">
        <f t="shared" si="17"/>
        <v>0</v>
      </c>
      <c r="K87" s="3"/>
      <c r="L87" s="8">
        <f t="shared" si="18"/>
        <v>-159.02000000000001</v>
      </c>
      <c r="M87" s="3"/>
      <c r="N87" s="7">
        <f t="shared" si="19"/>
        <v>-0.47327380952380954</v>
      </c>
      <c r="O87" s="12"/>
      <c r="P87" s="8">
        <v>1867.77</v>
      </c>
      <c r="Q87" s="3"/>
      <c r="R87" s="7">
        <f t="shared" si="20"/>
        <v>0</v>
      </c>
      <c r="S87" s="3"/>
      <c r="T87" s="8">
        <v>2696</v>
      </c>
      <c r="U87" s="3"/>
      <c r="V87" s="7">
        <f t="shared" si="21"/>
        <v>0</v>
      </c>
      <c r="W87" s="3"/>
      <c r="X87" s="8">
        <f t="shared" si="22"/>
        <v>-828.23</v>
      </c>
      <c r="Y87" s="3"/>
      <c r="Z87" s="7">
        <f t="shared" si="23"/>
        <v>-0.30720697329376856</v>
      </c>
    </row>
    <row r="88" spans="1:26" s="70" customFormat="1" ht="15" hidden="1" customHeight="1" outlineLevel="2" x14ac:dyDescent="0.25">
      <c r="A88" s="25"/>
      <c r="B88" s="12" t="str">
        <f>CONCATENATE("          ","6309"," - ","TELEPHONE")</f>
        <v xml:space="preserve">          6309 - TELEPHONE</v>
      </c>
      <c r="C88" s="12"/>
      <c r="D88" s="8">
        <v>2148.13</v>
      </c>
      <c r="E88" s="3"/>
      <c r="F88" s="7">
        <f t="shared" si="16"/>
        <v>0</v>
      </c>
      <c r="G88" s="3"/>
      <c r="H88" s="8">
        <v>1569</v>
      </c>
      <c r="I88" s="3"/>
      <c r="J88" s="7">
        <f t="shared" si="17"/>
        <v>0</v>
      </c>
      <c r="K88" s="3"/>
      <c r="L88" s="8">
        <f t="shared" si="18"/>
        <v>579.13000000000011</v>
      </c>
      <c r="M88" s="3"/>
      <c r="N88" s="7">
        <f t="shared" si="19"/>
        <v>0.36910771191841946</v>
      </c>
      <c r="O88" s="12"/>
      <c r="P88" s="8">
        <v>24402.06</v>
      </c>
      <c r="Q88" s="3"/>
      <c r="R88" s="7">
        <f t="shared" si="20"/>
        <v>0</v>
      </c>
      <c r="S88" s="3"/>
      <c r="T88" s="8">
        <v>17259</v>
      </c>
      <c r="U88" s="3"/>
      <c r="V88" s="7">
        <f t="shared" si="21"/>
        <v>0</v>
      </c>
      <c r="W88" s="3"/>
      <c r="X88" s="8">
        <f t="shared" si="22"/>
        <v>7143.0600000000013</v>
      </c>
      <c r="Y88" s="3"/>
      <c r="Z88" s="7">
        <f t="shared" si="23"/>
        <v>0.41387450026073358</v>
      </c>
    </row>
    <row r="89" spans="1:26" s="69" customFormat="1" ht="15" customHeight="1" outlineLevel="1" collapsed="1" x14ac:dyDescent="0.25">
      <c r="A89" s="26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SUM(OSRRefD22_18x_0)</f>
        <v>239.99</v>
      </c>
      <c r="E89" s="2"/>
      <c r="F89" s="6">
        <f t="shared" si="16"/>
        <v>0</v>
      </c>
      <c r="G89" s="2"/>
      <c r="H89" s="2">
        <f>SUM(OSRRefH22_18x_0)</f>
        <v>333</v>
      </c>
      <c r="I89" s="2"/>
      <c r="J89" s="6">
        <f t="shared" si="17"/>
        <v>0</v>
      </c>
      <c r="K89" s="2"/>
      <c r="L89" s="2">
        <f t="shared" si="18"/>
        <v>-93.009999999999991</v>
      </c>
      <c r="M89" s="2"/>
      <c r="N89" s="6">
        <f t="shared" si="19"/>
        <v>-0.27930930930930931</v>
      </c>
      <c r="O89" s="14"/>
      <c r="P89" s="2">
        <f>SUM(OSRRefP22_18x_0)</f>
        <v>1807.99</v>
      </c>
      <c r="Q89" s="2"/>
      <c r="R89" s="6">
        <f t="shared" si="20"/>
        <v>0</v>
      </c>
      <c r="S89" s="2"/>
      <c r="T89" s="2">
        <f>SUM(OSRRefT22_18x_0)</f>
        <v>11713</v>
      </c>
      <c r="U89" s="2"/>
      <c r="V89" s="6">
        <f t="shared" si="21"/>
        <v>0</v>
      </c>
      <c r="W89" s="2"/>
      <c r="X89" s="2">
        <f t="shared" si="22"/>
        <v>-9905.01</v>
      </c>
      <c r="Y89" s="2"/>
      <c r="Z89" s="6">
        <f t="shared" si="23"/>
        <v>-0.84564244856142745</v>
      </c>
    </row>
    <row r="90" spans="1:26" s="70" customFormat="1" ht="15" hidden="1" customHeight="1" outlineLevel="2" x14ac:dyDescent="0.25">
      <c r="A90" s="25"/>
      <c r="B90" s="12" t="str">
        <f>CONCATENATE("          ","6376"," - ","TRAINING")</f>
        <v xml:space="preserve">          6376 - TRAINING</v>
      </c>
      <c r="C90" s="12"/>
      <c r="D90" s="8">
        <v>239.99</v>
      </c>
      <c r="E90" s="3"/>
      <c r="F90" s="7">
        <f t="shared" si="16"/>
        <v>0</v>
      </c>
      <c r="G90" s="3"/>
      <c r="H90" s="8">
        <v>333</v>
      </c>
      <c r="I90" s="3"/>
      <c r="J90" s="7">
        <f t="shared" si="17"/>
        <v>0</v>
      </c>
      <c r="K90" s="3"/>
      <c r="L90" s="8">
        <f t="shared" si="18"/>
        <v>-93.009999999999991</v>
      </c>
      <c r="M90" s="3"/>
      <c r="N90" s="7">
        <f t="shared" si="19"/>
        <v>-0.27930930930930931</v>
      </c>
      <c r="O90" s="12"/>
      <c r="P90" s="8">
        <v>1807.99</v>
      </c>
      <c r="Q90" s="3"/>
      <c r="R90" s="7">
        <f t="shared" si="20"/>
        <v>0</v>
      </c>
      <c r="S90" s="3"/>
      <c r="T90" s="8">
        <v>11713</v>
      </c>
      <c r="U90" s="3"/>
      <c r="V90" s="7">
        <f t="shared" si="21"/>
        <v>0</v>
      </c>
      <c r="W90" s="3"/>
      <c r="X90" s="8">
        <f t="shared" si="22"/>
        <v>-9905.01</v>
      </c>
      <c r="Y90" s="3"/>
      <c r="Z90" s="7">
        <f t="shared" si="23"/>
        <v>-0.84564244856142745</v>
      </c>
    </row>
    <row r="91" spans="1:26" s="69" customFormat="1" ht="15" customHeight="1" outlineLevel="1" collapsed="1" x14ac:dyDescent="0.25">
      <c r="A91" s="26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SUM(OSRRefD22_19x_0)</f>
        <v>0</v>
      </c>
      <c r="E91" s="2"/>
      <c r="F91" s="6">
        <f t="shared" si="16"/>
        <v>0</v>
      </c>
      <c r="G91" s="2"/>
      <c r="H91" s="2">
        <f>SUM(OSRRefH22_19x_0)</f>
        <v>0</v>
      </c>
      <c r="I91" s="2"/>
      <c r="J91" s="6">
        <f t="shared" si="17"/>
        <v>0</v>
      </c>
      <c r="K91" s="2"/>
      <c r="L91" s="2">
        <f t="shared" si="18"/>
        <v>0</v>
      </c>
      <c r="M91" s="2"/>
      <c r="N91" s="6">
        <f t="shared" si="19"/>
        <v>0</v>
      </c>
      <c r="O91" s="14"/>
      <c r="P91" s="2">
        <f>SUM(OSRRefP22_19x_0)</f>
        <v>30.4</v>
      </c>
      <c r="Q91" s="2"/>
      <c r="R91" s="6">
        <f t="shared" si="20"/>
        <v>0</v>
      </c>
      <c r="S91" s="2"/>
      <c r="T91" s="2">
        <f>SUM(OSRRefT22_19x_0)</f>
        <v>7720</v>
      </c>
      <c r="U91" s="2"/>
      <c r="V91" s="6">
        <f t="shared" si="21"/>
        <v>0</v>
      </c>
      <c r="W91" s="2"/>
      <c r="X91" s="2">
        <f t="shared" si="22"/>
        <v>-7689.6</v>
      </c>
      <c r="Y91" s="2"/>
      <c r="Z91" s="6">
        <f t="shared" si="23"/>
        <v>-0.99606217616580317</v>
      </c>
    </row>
    <row r="92" spans="1:26" s="70" customFormat="1" ht="15" hidden="1" customHeight="1" outlineLevel="2" x14ac:dyDescent="0.25">
      <c r="A92" s="25"/>
      <c r="B92" s="12" t="str">
        <f>CONCATENATE("          ","6292"," - ","TRAVEL/CONFERENCE")</f>
        <v xml:space="preserve">          6292 - TRAVEL/CONFERENCE</v>
      </c>
      <c r="C92" s="12"/>
      <c r="D92" s="8"/>
      <c r="E92" s="3"/>
      <c r="F92" s="7">
        <f t="shared" si="16"/>
        <v>0</v>
      </c>
      <c r="G92" s="3"/>
      <c r="H92" s="8"/>
      <c r="I92" s="3"/>
      <c r="J92" s="7">
        <f t="shared" si="17"/>
        <v>0</v>
      </c>
      <c r="K92" s="3"/>
      <c r="L92" s="8">
        <f t="shared" si="18"/>
        <v>0</v>
      </c>
      <c r="M92" s="3"/>
      <c r="N92" s="7">
        <f t="shared" si="19"/>
        <v>0</v>
      </c>
      <c r="O92" s="12"/>
      <c r="P92" s="8">
        <v>0</v>
      </c>
      <c r="Q92" s="3"/>
      <c r="R92" s="7">
        <f t="shared" si="20"/>
        <v>0</v>
      </c>
      <c r="S92" s="3"/>
      <c r="T92" s="8">
        <v>6220</v>
      </c>
      <c r="U92" s="3"/>
      <c r="V92" s="7">
        <f t="shared" si="21"/>
        <v>0</v>
      </c>
      <c r="W92" s="3"/>
      <c r="X92" s="8">
        <f t="shared" si="22"/>
        <v>-6220</v>
      </c>
      <c r="Y92" s="3"/>
      <c r="Z92" s="7">
        <f t="shared" si="23"/>
        <v>-1</v>
      </c>
    </row>
    <row r="93" spans="1:26" s="70" customFormat="1" ht="15" hidden="1" customHeight="1" outlineLevel="2" x14ac:dyDescent="0.25">
      <c r="A93" s="25"/>
      <c r="B93" s="12" t="str">
        <f>CONCATENATE("          ","6294"," - ","TRAVEL OPERATIONAL")</f>
        <v xml:space="preserve">          6294 - TRAVEL OPERATIONAL</v>
      </c>
      <c r="C93" s="12"/>
      <c r="D93" s="8"/>
      <c r="E93" s="3"/>
      <c r="F93" s="7">
        <f t="shared" si="16"/>
        <v>0</v>
      </c>
      <c r="G93" s="3"/>
      <c r="H93" s="8"/>
      <c r="I93" s="3"/>
      <c r="J93" s="7">
        <f t="shared" si="17"/>
        <v>0</v>
      </c>
      <c r="K93" s="3"/>
      <c r="L93" s="8">
        <f t="shared" si="18"/>
        <v>0</v>
      </c>
      <c r="M93" s="3"/>
      <c r="N93" s="7">
        <f t="shared" si="19"/>
        <v>0</v>
      </c>
      <c r="O93" s="12"/>
      <c r="P93" s="8">
        <v>30.4</v>
      </c>
      <c r="Q93" s="3"/>
      <c r="R93" s="7">
        <f t="shared" si="20"/>
        <v>0</v>
      </c>
      <c r="S93" s="3"/>
      <c r="T93" s="8">
        <v>1500</v>
      </c>
      <c r="U93" s="3"/>
      <c r="V93" s="7">
        <f t="shared" si="21"/>
        <v>0</v>
      </c>
      <c r="W93" s="3"/>
      <c r="X93" s="8">
        <f t="shared" si="22"/>
        <v>-1469.6</v>
      </c>
      <c r="Y93" s="3"/>
      <c r="Z93" s="7">
        <f t="shared" si="23"/>
        <v>-0.97973333333333323</v>
      </c>
    </row>
    <row r="94" spans="1:26" s="65" customFormat="1" ht="15" customHeight="1" x14ac:dyDescent="0.25">
      <c r="A94" s="35"/>
      <c r="B94" s="35"/>
      <c r="C94" s="35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5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3" customFormat="1" ht="15" customHeight="1" x14ac:dyDescent="0.25">
      <c r="A95" s="11"/>
      <c r="B95" s="27" t="s">
        <v>291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292</v>
      </c>
      <c r="C97" s="28"/>
      <c r="D97" s="22">
        <f>+D16-D18+D95</f>
        <v>-229106.31999999998</v>
      </c>
      <c r="E97" s="15"/>
      <c r="F97" s="21">
        <f>IF(D$12=0,0,D97/D$12)</f>
        <v>0</v>
      </c>
      <c r="G97" s="15"/>
      <c r="H97" s="22">
        <f>+H16-H18+H95</f>
        <v>-230228.17971184</v>
      </c>
      <c r="I97" s="15"/>
      <c r="J97" s="21">
        <f>IF(H$12=0,0,H97/H$12)</f>
        <v>0</v>
      </c>
      <c r="K97" s="16"/>
      <c r="L97" s="22">
        <f>+D97-H97</f>
        <v>1121.8597118400212</v>
      </c>
      <c r="M97" s="16"/>
      <c r="N97" s="21">
        <f>IF(H97=0,0,L97/H97)</f>
        <v>-4.8728166692894506E-3</v>
      </c>
      <c r="O97" s="27"/>
      <c r="P97" s="22">
        <f>+P16-P18+P95</f>
        <v>-2705465.9400000004</v>
      </c>
      <c r="Q97" s="15"/>
      <c r="R97" s="21">
        <f>IF(P$12=0,0,P97/P$12)</f>
        <v>0</v>
      </c>
      <c r="S97" s="15"/>
      <c r="T97" s="22">
        <f>+T16-T18+T95</f>
        <v>-2855939.1260185414</v>
      </c>
      <c r="U97" s="15"/>
      <c r="V97" s="21">
        <f>IF(T$12=0,0,T97/T$12)</f>
        <v>0</v>
      </c>
      <c r="W97" s="16"/>
      <c r="X97" s="22">
        <f>+P97-T97</f>
        <v>150473.18601854099</v>
      </c>
      <c r="Y97" s="16"/>
      <c r="Z97" s="21">
        <f>IF(T97=0,0,X97/T97)</f>
        <v>-5.2687812792535017E-2</v>
      </c>
    </row>
    <row r="98" spans="1:26" ht="15" customHeight="1" x14ac:dyDescent="0.25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25">
      <c r="A99" s="49"/>
      <c r="B99" s="11" t="s">
        <v>293</v>
      </c>
      <c r="C99" s="11"/>
      <c r="D99" s="5"/>
      <c r="E99" s="5"/>
      <c r="F99" s="13">
        <f>IF(D$12=0,0,D99/D$12)</f>
        <v>0</v>
      </c>
      <c r="G99" s="5"/>
      <c r="H99" s="5"/>
      <c r="I99" s="5"/>
      <c r="J99" s="13">
        <f>IF(H$12=0,0,H99/H$12)</f>
        <v>0</v>
      </c>
      <c r="K99" s="5"/>
      <c r="L99" s="5">
        <f>+D99-H99</f>
        <v>0</v>
      </c>
      <c r="M99" s="5"/>
      <c r="N99" s="13">
        <f>IF(H99=0,0,L99/H99)</f>
        <v>0</v>
      </c>
      <c r="O99" s="11"/>
      <c r="P99" s="5"/>
      <c r="Q99" s="5"/>
      <c r="R99" s="13">
        <f>IF(P$12=0,0,P99/P$12)</f>
        <v>0</v>
      </c>
      <c r="S99" s="5"/>
      <c r="T99" s="5"/>
      <c r="U99" s="5"/>
      <c r="V99" s="13">
        <f>IF(T$12=0,0,T99/T$12)</f>
        <v>0</v>
      </c>
      <c r="W99" s="5"/>
      <c r="X99" s="5">
        <f>+P99-T99</f>
        <v>0</v>
      </c>
      <c r="Y99" s="5"/>
      <c r="Z99" s="13">
        <f>IF(T99=0,0,X99/T99)</f>
        <v>0</v>
      </c>
    </row>
    <row r="100" spans="1:26" ht="15" customHeight="1" x14ac:dyDescent="0.25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25">
      <c r="A101" s="11"/>
      <c r="B101" s="28" t="s">
        <v>294</v>
      </c>
      <c r="C101" s="28"/>
      <c r="D101" s="34">
        <f>+D97-D99</f>
        <v>-229106.31999999998</v>
      </c>
      <c r="E101" s="15"/>
      <c r="F101" s="32">
        <f>IF(D$12=0,0,D101/D$12)</f>
        <v>0</v>
      </c>
      <c r="G101" s="15"/>
      <c r="H101" s="34">
        <f>+H97-H99</f>
        <v>-230228.17971184</v>
      </c>
      <c r="I101" s="15"/>
      <c r="J101" s="32">
        <f>IF(H$12=0,0,H101/H$12)</f>
        <v>0</v>
      </c>
      <c r="K101" s="16"/>
      <c r="L101" s="34">
        <f>D101-H101</f>
        <v>1121.8597118400212</v>
      </c>
      <c r="M101" s="16"/>
      <c r="N101" s="32">
        <f>IF(H101=0,0,L101/H101)</f>
        <v>-4.8728166692894506E-3</v>
      </c>
      <c r="O101" s="27"/>
      <c r="P101" s="34">
        <f>+P97-P99</f>
        <v>-2705465.9400000004</v>
      </c>
      <c r="Q101" s="15"/>
      <c r="R101" s="32">
        <f>IF(P$12=0,0,P101/P$12)</f>
        <v>0</v>
      </c>
      <c r="S101" s="15"/>
      <c r="T101" s="34">
        <f>+T97-T99</f>
        <v>-2855939.1260185414</v>
      </c>
      <c r="U101" s="15"/>
      <c r="V101" s="32">
        <f>IF(T$12=0,0,T101/T$12)</f>
        <v>0</v>
      </c>
      <c r="W101" s="16"/>
      <c r="X101" s="34">
        <f>P101-T101</f>
        <v>150473.18601854099</v>
      </c>
      <c r="Y101" s="16"/>
      <c r="Z101" s="32">
        <f>IF(T101=0,0,X101/T101)</f>
        <v>-5.2687812792535017E-2</v>
      </c>
    </row>
    <row r="102" spans="1:26" ht="15" customHeight="1" x14ac:dyDescent="0.25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25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25">
      <c r="A104" s="11"/>
      <c r="B104" s="28" t="s">
        <v>297</v>
      </c>
      <c r="C104" s="28"/>
      <c r="D104" s="30">
        <f>SUM(D101:D103)</f>
        <v>-229106.31999999998</v>
      </c>
      <c r="E104" s="15"/>
      <c r="F104" s="33">
        <f>IF(D$12=0,0,D104/D$12)</f>
        <v>0</v>
      </c>
      <c r="G104" s="15"/>
      <c r="H104" s="30">
        <f>SUM(H101:H103)</f>
        <v>-230228.17971184</v>
      </c>
      <c r="I104" s="15"/>
      <c r="J104" s="33">
        <f>IF(H$12=0,0,H104/H$12)</f>
        <v>0</v>
      </c>
      <c r="K104" s="16"/>
      <c r="L104" s="30">
        <f>+D104-H104</f>
        <v>1121.8597118400212</v>
      </c>
      <c r="M104" s="16"/>
      <c r="N104" s="33">
        <f>IF(H104=0,0,L104/H104)</f>
        <v>-4.8728166692894506E-3</v>
      </c>
      <c r="O104" s="27"/>
      <c r="P104" s="30">
        <f>SUM(P101:P103)</f>
        <v>-2705465.9400000004</v>
      </c>
      <c r="Q104" s="15"/>
      <c r="R104" s="33">
        <f>IF(P$12=0,0,P104/P$12)</f>
        <v>0</v>
      </c>
      <c r="S104" s="15"/>
      <c r="T104" s="30">
        <f>SUM(T101:T103)</f>
        <v>-2855939.1260185414</v>
      </c>
      <c r="U104" s="15"/>
      <c r="V104" s="33">
        <f>IF(T$12=0,0,T104/T$12)</f>
        <v>0</v>
      </c>
      <c r="W104" s="16"/>
      <c r="X104" s="30">
        <f>+P104-T104</f>
        <v>150473.18601854099</v>
      </c>
      <c r="Y104" s="16"/>
      <c r="Z104" s="33">
        <f>IF(T104=0,0,X104/T104)</f>
        <v>-5.2687812792535017E-2</v>
      </c>
    </row>
    <row r="105" spans="1:26" ht="15" customHeight="1" x14ac:dyDescent="0.25">
      <c r="A105" s="10"/>
      <c r="C105" s="10"/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  <row r="106" spans="1:26" ht="15" customHeight="1" x14ac:dyDescent="0.25">
      <c r="A106" s="10"/>
      <c r="B106" s="54">
        <v>44727.874479513892</v>
      </c>
      <c r="D106" s="18"/>
      <c r="E106" s="18"/>
      <c r="G106" s="18"/>
      <c r="H106" s="18"/>
      <c r="I106" s="18"/>
      <c r="J106" s="40"/>
      <c r="K106" s="18"/>
      <c r="L106" s="18"/>
      <c r="M106" s="18"/>
      <c r="P106" s="18"/>
      <c r="Q106" s="18"/>
      <c r="R106" s="40"/>
      <c r="S106" s="18"/>
      <c r="T106" s="18"/>
      <c r="U106" s="18"/>
      <c r="V106" s="40"/>
      <c r="W106" s="18"/>
      <c r="X106" s="18"/>
    </row>
    <row r="107" spans="1:26" ht="15" customHeight="1" x14ac:dyDescent="0.25">
      <c r="A107" s="10"/>
      <c r="B107" s="50" t="s">
        <v>298</v>
      </c>
      <c r="D107" s="18"/>
      <c r="E107" s="18"/>
      <c r="G107" s="18"/>
      <c r="H107" s="18"/>
      <c r="I107" s="18"/>
      <c r="J107" s="40"/>
      <c r="K107" s="18"/>
      <c r="L107" s="18"/>
      <c r="M107" s="18"/>
      <c r="P107" s="18"/>
      <c r="Q107" s="18"/>
      <c r="R107" s="40"/>
      <c r="S107" s="18"/>
      <c r="T107" s="18"/>
      <c r="U107" s="18"/>
      <c r="V107" s="40"/>
      <c r="W107" s="18"/>
      <c r="X107" s="18"/>
    </row>
    <row r="108" spans="1:26" ht="15" customHeight="1" x14ac:dyDescent="0.25">
      <c r="A108" s="10"/>
      <c r="B108" s="58"/>
      <c r="D108" s="18"/>
      <c r="E108" s="18"/>
      <c r="G108" s="18"/>
      <c r="H108" s="18"/>
      <c r="I108" s="18"/>
      <c r="J108" s="40"/>
      <c r="K108" s="18"/>
      <c r="L108" s="18"/>
      <c r="M108" s="18"/>
      <c r="P108" s="18"/>
      <c r="Q108" s="18"/>
      <c r="R108" s="40"/>
      <c r="S108" s="18"/>
      <c r="T108" s="18"/>
      <c r="U108" s="18"/>
      <c r="V108" s="40"/>
      <c r="W108" s="18"/>
      <c r="X108" s="18"/>
    </row>
    <row r="109" spans="1:26" ht="15" customHeight="1" x14ac:dyDescent="0.25">
      <c r="D109" s="18"/>
      <c r="E109" s="18"/>
      <c r="G109" s="18"/>
      <c r="H109" s="18"/>
      <c r="I109" s="18"/>
      <c r="J109" s="40"/>
      <c r="K109" s="18"/>
      <c r="L109" s="18"/>
      <c r="M109" s="18"/>
      <c r="P109" s="18"/>
      <c r="Q109" s="18"/>
      <c r="R109" s="40"/>
      <c r="S109" s="18"/>
      <c r="T109" s="18"/>
      <c r="U109" s="18"/>
      <c r="V109" s="40"/>
      <c r="W109" s="18"/>
      <c r="X10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F24D4-DAE2-16E9-CB3D-A9ECB11127A6}">
  <sheetPr>
    <tabColor rgb="FF92D050"/>
    <outlinePr summaryBelow="0" summaryRight="0"/>
  </sheetPr>
  <dimension ref="A2:Z4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","200"," - ","Corporate Expense")</f>
        <v>Department 200 - Corporate Expense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34564.18</v>
      </c>
      <c r="E18" s="23"/>
      <c r="F18" s="31">
        <f t="shared" ref="F18:F27" si="0">IF(D$12=0,0,D18/D$12)</f>
        <v>0</v>
      </c>
      <c r="G18" s="23"/>
      <c r="H18" s="23" cm="1">
        <f t="array" ref="H18">SUM(OSRRefH22x_0)</f>
        <v>37008</v>
      </c>
      <c r="I18" s="23"/>
      <c r="J18" s="31">
        <f t="shared" ref="J18:J27" si="1">IF(H$12=0,0,H18/H$12)</f>
        <v>0</v>
      </c>
      <c r="K18" s="5"/>
      <c r="L18" s="23">
        <f t="shared" ref="L18:L27" si="2">+D18-H18</f>
        <v>-2443.8199999999997</v>
      </c>
      <c r="M18" s="5"/>
      <c r="N18" s="31">
        <f t="shared" ref="N18:N27" si="3">IF(H18=0,0,L18/H18)</f>
        <v>-6.6034911370514482E-2</v>
      </c>
      <c r="O18" s="11"/>
      <c r="P18" s="23" cm="1">
        <f t="array" ref="P18">SUM(OSRRefP22x_0)</f>
        <v>377755.78999999992</v>
      </c>
      <c r="Q18" s="23"/>
      <c r="R18" s="31">
        <f t="shared" ref="R18:R27" si="4">IF(P$12=0,0,P18/P$12)</f>
        <v>0</v>
      </c>
      <c r="S18" s="23"/>
      <c r="T18" s="23" cm="1">
        <f t="array" ref="T18">SUM(OSRRefT22x_0)</f>
        <v>516588</v>
      </c>
      <c r="U18" s="23"/>
      <c r="V18" s="31">
        <f t="shared" ref="V18:V27" si="5">IF(T$12=0,0,T18/T$12)</f>
        <v>0</v>
      </c>
      <c r="W18" s="5"/>
      <c r="X18" s="23">
        <f t="shared" ref="X18:X27" si="6">+P18-T18</f>
        <v>-138832.21000000008</v>
      </c>
      <c r="Y18" s="5"/>
      <c r="Z18" s="31">
        <f t="shared" ref="Z18:Z27" si="7">IF(T18=0,0,X18/T18)</f>
        <v>-0.26874842234043395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25950.3</v>
      </c>
      <c r="E19" s="2"/>
      <c r="F19" s="6">
        <f t="shared" si="0"/>
        <v>0</v>
      </c>
      <c r="G19" s="2"/>
      <c r="H19" s="2">
        <f>SUM(OSRRefH22_0x_0)</f>
        <v>35000</v>
      </c>
      <c r="I19" s="2"/>
      <c r="J19" s="6">
        <f t="shared" si="1"/>
        <v>0</v>
      </c>
      <c r="K19" s="2"/>
      <c r="L19" s="2">
        <f t="shared" si="2"/>
        <v>-9049.7000000000007</v>
      </c>
      <c r="M19" s="2"/>
      <c r="N19" s="6">
        <f t="shared" si="3"/>
        <v>-0.25856285714285715</v>
      </c>
      <c r="O19" s="14"/>
      <c r="P19" s="2">
        <f>SUM(OSRRefP22_0x_0)</f>
        <v>296422.15999999997</v>
      </c>
      <c r="Q19" s="2"/>
      <c r="R19" s="6">
        <f t="shared" si="4"/>
        <v>0</v>
      </c>
      <c r="S19" s="2"/>
      <c r="T19" s="2">
        <f>SUM(OSRRefT22_0x_0)</f>
        <v>385000</v>
      </c>
      <c r="U19" s="2"/>
      <c r="V19" s="6">
        <f t="shared" si="5"/>
        <v>0</v>
      </c>
      <c r="W19" s="2"/>
      <c r="X19" s="2">
        <f t="shared" si="6"/>
        <v>-88577.840000000026</v>
      </c>
      <c r="Y19" s="2"/>
      <c r="Z19" s="6">
        <f t="shared" si="7"/>
        <v>-0.23007231168831174</v>
      </c>
    </row>
    <row r="20" spans="1:26" s="70" customFormat="1" ht="15" hidden="1" customHeight="1" outlineLevel="2" x14ac:dyDescent="0.25">
      <c r="A20" s="25"/>
      <c r="B20" s="12" t="str">
        <f>CONCATENATE("          ","6120"," - ","RETIREES HEALTH INSURANCE")</f>
        <v xml:space="preserve">          6120 - RETIREES HEALTH INSURANCE</v>
      </c>
      <c r="C20" s="12"/>
      <c r="D20" s="8">
        <v>25950.3</v>
      </c>
      <c r="E20" s="3"/>
      <c r="F20" s="7">
        <f t="shared" si="0"/>
        <v>0</v>
      </c>
      <c r="G20" s="3"/>
      <c r="H20" s="8">
        <v>35000</v>
      </c>
      <c r="I20" s="3"/>
      <c r="J20" s="7">
        <f t="shared" si="1"/>
        <v>0</v>
      </c>
      <c r="K20" s="3"/>
      <c r="L20" s="8">
        <f t="shared" si="2"/>
        <v>-9049.7000000000007</v>
      </c>
      <c r="M20" s="3"/>
      <c r="N20" s="7">
        <f t="shared" si="3"/>
        <v>-0.25856285714285715</v>
      </c>
      <c r="O20" s="12"/>
      <c r="P20" s="8">
        <v>296422.15999999997</v>
      </c>
      <c r="Q20" s="3"/>
      <c r="R20" s="7">
        <f t="shared" si="4"/>
        <v>0</v>
      </c>
      <c r="S20" s="3"/>
      <c r="T20" s="8">
        <v>385000</v>
      </c>
      <c r="U20" s="3"/>
      <c r="V20" s="7">
        <f t="shared" si="5"/>
        <v>0</v>
      </c>
      <c r="W20" s="3"/>
      <c r="X20" s="8">
        <f t="shared" si="6"/>
        <v>-88577.840000000026</v>
      </c>
      <c r="Y20" s="3"/>
      <c r="Z20" s="7">
        <f t="shared" si="7"/>
        <v>-0.23007231168831174</v>
      </c>
    </row>
    <row r="21" spans="1:26" s="69" customFormat="1" ht="15" customHeight="1" outlineLevel="1" collapsed="1" x14ac:dyDescent="0.25">
      <c r="A21" s="26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279.11</v>
      </c>
      <c r="E21" s="2"/>
      <c r="F21" s="6">
        <f t="shared" si="0"/>
        <v>0</v>
      </c>
      <c r="G21" s="2"/>
      <c r="H21" s="2">
        <f>SUM(OSRRefH22_1x_0)</f>
        <v>1000</v>
      </c>
      <c r="I21" s="2"/>
      <c r="J21" s="6">
        <f t="shared" si="1"/>
        <v>0</v>
      </c>
      <c r="K21" s="2"/>
      <c r="L21" s="2">
        <f t="shared" si="2"/>
        <v>-720.89</v>
      </c>
      <c r="M21" s="2"/>
      <c r="N21" s="6">
        <f t="shared" si="3"/>
        <v>-0.72089000000000003</v>
      </c>
      <c r="O21" s="14"/>
      <c r="P21" s="2">
        <f>SUM(OSRRefP22_1x_0)</f>
        <v>13177.22</v>
      </c>
      <c r="Q21" s="2"/>
      <c r="R21" s="6">
        <f t="shared" si="4"/>
        <v>0</v>
      </c>
      <c r="S21" s="2"/>
      <c r="T21" s="2">
        <f>SUM(OSRRefT22_1x_0)</f>
        <v>42000</v>
      </c>
      <c r="U21" s="2"/>
      <c r="V21" s="6">
        <f t="shared" si="5"/>
        <v>0</v>
      </c>
      <c r="W21" s="2"/>
      <c r="X21" s="2">
        <f t="shared" si="6"/>
        <v>-28822.78</v>
      </c>
      <c r="Y21" s="2"/>
      <c r="Z21" s="6">
        <f t="shared" si="7"/>
        <v>-0.68625666666666663</v>
      </c>
    </row>
    <row r="22" spans="1:26" s="70" customFormat="1" ht="15" hidden="1" customHeight="1" outlineLevel="2" x14ac:dyDescent="0.25">
      <c r="A22" s="25"/>
      <c r="B22" s="12" t="str">
        <f>CONCATENATE("          ","6381"," - ","BANK/CREDIT CARD FEES")</f>
        <v xml:space="preserve">          6381 - BANK/CREDIT CARD FEES</v>
      </c>
      <c r="C22" s="12"/>
      <c r="D22" s="8">
        <v>279.11</v>
      </c>
      <c r="E22" s="3"/>
      <c r="F22" s="7">
        <f t="shared" si="0"/>
        <v>0</v>
      </c>
      <c r="G22" s="3"/>
      <c r="H22" s="8">
        <v>1000</v>
      </c>
      <c r="I22" s="3"/>
      <c r="J22" s="7">
        <f t="shared" si="1"/>
        <v>0</v>
      </c>
      <c r="K22" s="3"/>
      <c r="L22" s="8">
        <f t="shared" si="2"/>
        <v>-720.89</v>
      </c>
      <c r="M22" s="3"/>
      <c r="N22" s="7">
        <f t="shared" si="3"/>
        <v>-0.72089000000000003</v>
      </c>
      <c r="O22" s="12"/>
      <c r="P22" s="8">
        <v>13177.22</v>
      </c>
      <c r="Q22" s="3"/>
      <c r="R22" s="7">
        <f t="shared" si="4"/>
        <v>0</v>
      </c>
      <c r="S22" s="3"/>
      <c r="T22" s="8">
        <v>42000</v>
      </c>
      <c r="U22" s="3"/>
      <c r="V22" s="7">
        <f t="shared" si="5"/>
        <v>0</v>
      </c>
      <c r="W22" s="3"/>
      <c r="X22" s="8">
        <f t="shared" si="6"/>
        <v>-28822.78</v>
      </c>
      <c r="Y22" s="3"/>
      <c r="Z22" s="7">
        <f t="shared" si="7"/>
        <v>-0.68625666666666663</v>
      </c>
    </row>
    <row r="23" spans="1:26" s="69" customFormat="1" ht="15" customHeight="1" outlineLevel="1" collapsed="1" x14ac:dyDescent="0.25">
      <c r="A23" s="26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8334.77</v>
      </c>
      <c r="E23" s="2"/>
      <c r="F23" s="6">
        <f t="shared" si="0"/>
        <v>0</v>
      </c>
      <c r="G23" s="2"/>
      <c r="H23" s="2">
        <f>SUM(OSRRefH22_2x_0)</f>
        <v>1008</v>
      </c>
      <c r="I23" s="2"/>
      <c r="J23" s="6">
        <f t="shared" si="1"/>
        <v>0</v>
      </c>
      <c r="K23" s="2"/>
      <c r="L23" s="2">
        <f t="shared" si="2"/>
        <v>7326.77</v>
      </c>
      <c r="M23" s="2"/>
      <c r="N23" s="6">
        <f t="shared" si="3"/>
        <v>7.268621031746032</v>
      </c>
      <c r="O23" s="14"/>
      <c r="P23" s="2">
        <f>SUM(OSRRefP22_2x_0)</f>
        <v>26655.41</v>
      </c>
      <c r="Q23" s="2"/>
      <c r="R23" s="6">
        <f t="shared" si="4"/>
        <v>0</v>
      </c>
      <c r="S23" s="2"/>
      <c r="T23" s="2">
        <f>SUM(OSRRefT22_2x_0)</f>
        <v>18588</v>
      </c>
      <c r="U23" s="2"/>
      <c r="V23" s="6">
        <f t="shared" si="5"/>
        <v>0</v>
      </c>
      <c r="W23" s="2"/>
      <c r="X23" s="2">
        <f t="shared" si="6"/>
        <v>8067.41</v>
      </c>
      <c r="Y23" s="2"/>
      <c r="Z23" s="6">
        <f t="shared" si="7"/>
        <v>0.43401172799655691</v>
      </c>
    </row>
    <row r="24" spans="1:26" s="70" customFormat="1" ht="15" hidden="1" customHeight="1" outlineLevel="2" x14ac:dyDescent="0.25">
      <c r="A24" s="25"/>
      <c r="B24" s="12" t="str">
        <f>CONCATENATE("          ","6397"," - ","BOARD EXPENSES")</f>
        <v xml:space="preserve">          6397 - BOARD EXPENSES</v>
      </c>
      <c r="C24" s="12"/>
      <c r="D24" s="8">
        <v>8334.77</v>
      </c>
      <c r="E24" s="3"/>
      <c r="F24" s="7">
        <f t="shared" si="0"/>
        <v>0</v>
      </c>
      <c r="G24" s="3"/>
      <c r="H24" s="8">
        <v>1008</v>
      </c>
      <c r="I24" s="3"/>
      <c r="J24" s="7">
        <f t="shared" si="1"/>
        <v>0</v>
      </c>
      <c r="K24" s="3"/>
      <c r="L24" s="8">
        <f t="shared" si="2"/>
        <v>7326.77</v>
      </c>
      <c r="M24" s="3"/>
      <c r="N24" s="7">
        <f t="shared" si="3"/>
        <v>7.268621031746032</v>
      </c>
      <c r="O24" s="12"/>
      <c r="P24" s="8">
        <v>26655.41</v>
      </c>
      <c r="Q24" s="3"/>
      <c r="R24" s="7">
        <f t="shared" si="4"/>
        <v>0</v>
      </c>
      <c r="S24" s="3"/>
      <c r="T24" s="8">
        <v>18588</v>
      </c>
      <c r="U24" s="3"/>
      <c r="V24" s="7">
        <f t="shared" si="5"/>
        <v>0</v>
      </c>
      <c r="W24" s="3"/>
      <c r="X24" s="8">
        <f t="shared" si="6"/>
        <v>8067.41</v>
      </c>
      <c r="Y24" s="3"/>
      <c r="Z24" s="7">
        <f t="shared" si="7"/>
        <v>0.43401172799655691</v>
      </c>
    </row>
    <row r="25" spans="1:26" s="69" customFormat="1" ht="15" customHeight="1" outlineLevel="1" collapsed="1" x14ac:dyDescent="0.25">
      <c r="A25" s="26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41501</v>
      </c>
      <c r="Q25" s="2"/>
      <c r="R25" s="6">
        <f t="shared" si="4"/>
        <v>0</v>
      </c>
      <c r="S25" s="2"/>
      <c r="T25" s="2">
        <f>SUM(OSRRefT22_3x_0)</f>
        <v>71000</v>
      </c>
      <c r="U25" s="2"/>
      <c r="V25" s="6">
        <f t="shared" si="5"/>
        <v>0</v>
      </c>
      <c r="W25" s="2"/>
      <c r="X25" s="2">
        <f t="shared" si="6"/>
        <v>-29499</v>
      </c>
      <c r="Y25" s="2"/>
      <c r="Z25" s="6">
        <f t="shared" si="7"/>
        <v>-0.41547887323943661</v>
      </c>
    </row>
    <row r="26" spans="1:26" s="70" customFormat="1" ht="15" hidden="1" customHeight="1" outlineLevel="2" x14ac:dyDescent="0.25">
      <c r="A26" s="25"/>
      <c r="B26" s="12" t="str">
        <f>CONCATENATE("          ","6331"," - ","INDIRECT COSTS-AUXILIARY ORGAN")</f>
        <v xml:space="preserve">          6331 - INDIRECT COSTS-AUXILIARY ORGAN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>
        <v>41501</v>
      </c>
      <c r="Q26" s="3"/>
      <c r="R26" s="7">
        <f t="shared" si="4"/>
        <v>0</v>
      </c>
      <c r="S26" s="3"/>
      <c r="T26" s="8">
        <v>52000</v>
      </c>
      <c r="U26" s="3"/>
      <c r="V26" s="7">
        <f t="shared" si="5"/>
        <v>0</v>
      </c>
      <c r="W26" s="3"/>
      <c r="X26" s="8">
        <f t="shared" si="6"/>
        <v>-10499</v>
      </c>
      <c r="Y26" s="3"/>
      <c r="Z26" s="7">
        <f t="shared" si="7"/>
        <v>-0.20190384615384616</v>
      </c>
    </row>
    <row r="27" spans="1:26" s="70" customFormat="1" ht="15" hidden="1" customHeight="1" outlineLevel="2" x14ac:dyDescent="0.25">
      <c r="A27" s="25"/>
      <c r="B27" s="12" t="str">
        <f>CONCATENATE("          ","6332"," - ","CONSULTANT FEES")</f>
        <v xml:space="preserve">          6332 - CONSULTANT FEES</v>
      </c>
      <c r="C27" s="12"/>
      <c r="D27" s="8"/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19000</v>
      </c>
      <c r="U27" s="3"/>
      <c r="V27" s="7">
        <f t="shared" si="5"/>
        <v>0</v>
      </c>
      <c r="W27" s="3"/>
      <c r="X27" s="8">
        <f t="shared" si="6"/>
        <v>-19000</v>
      </c>
      <c r="Y27" s="3"/>
      <c r="Z27" s="7">
        <f t="shared" si="7"/>
        <v>-1</v>
      </c>
    </row>
    <row r="28" spans="1:26" s="65" customFormat="1" ht="15" customHeight="1" x14ac:dyDescent="0.25">
      <c r="A28" s="35"/>
      <c r="B28" s="35"/>
      <c r="C28" s="35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25">
      <c r="A29" s="11"/>
      <c r="B29" s="27" t="s">
        <v>291</v>
      </c>
      <c r="C29" s="11"/>
      <c r="D29" s="5">
        <f>SUM(0)</f>
        <v>0</v>
      </c>
      <c r="E29" s="5"/>
      <c r="F29" s="13">
        <f>IF(D$12=0,0,D29/D$12)</f>
        <v>0</v>
      </c>
      <c r="G29" s="5"/>
      <c r="H29" s="5">
        <f>SUM(0)</f>
        <v>0</v>
      </c>
      <c r="I29" s="5"/>
      <c r="J29" s="13">
        <f>IF(H$12=0,0,H29/H$12)</f>
        <v>0</v>
      </c>
      <c r="K29" s="5"/>
      <c r="L29" s="5">
        <f>+D29-H29</f>
        <v>0</v>
      </c>
      <c r="M29" s="5"/>
      <c r="N29" s="13">
        <f>IF(H29=0,0,L29/H29)</f>
        <v>0</v>
      </c>
      <c r="O29" s="11"/>
      <c r="P29" s="5">
        <f>SUM(0)</f>
        <v>0</v>
      </c>
      <c r="Q29" s="5"/>
      <c r="R29" s="13">
        <f>IF(P$12=0,0,P29/P$12)</f>
        <v>0</v>
      </c>
      <c r="S29" s="5"/>
      <c r="T29" s="5">
        <f>SUM(0)</f>
        <v>0</v>
      </c>
      <c r="U29" s="5"/>
      <c r="V29" s="13">
        <f>IF(T$12=0,0,T29/T$12)</f>
        <v>0</v>
      </c>
      <c r="W29" s="5"/>
      <c r="X29" s="5">
        <f>+P29-T29</f>
        <v>0</v>
      </c>
      <c r="Y29" s="5"/>
      <c r="Z29" s="13">
        <f>IF(T29=0,0,X29/T29)</f>
        <v>0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292</v>
      </c>
      <c r="C31" s="28"/>
      <c r="D31" s="22">
        <f>+D16-D18+D29</f>
        <v>-34564.18</v>
      </c>
      <c r="E31" s="15"/>
      <c r="F31" s="21">
        <f>IF(D$12=0,0,D31/D$12)</f>
        <v>0</v>
      </c>
      <c r="G31" s="15"/>
      <c r="H31" s="22">
        <f>+H16-H18+H29</f>
        <v>-37008</v>
      </c>
      <c r="I31" s="15"/>
      <c r="J31" s="21">
        <f>IF(H$12=0,0,H31/H$12)</f>
        <v>0</v>
      </c>
      <c r="K31" s="16"/>
      <c r="L31" s="22">
        <f>+D31-H31</f>
        <v>2443.8199999999997</v>
      </c>
      <c r="M31" s="16"/>
      <c r="N31" s="21">
        <f>IF(H31=0,0,L31/H31)</f>
        <v>-6.6034911370514482E-2</v>
      </c>
      <c r="O31" s="27"/>
      <c r="P31" s="22">
        <f>+P16-P18+P29</f>
        <v>-377755.78999999992</v>
      </c>
      <c r="Q31" s="15"/>
      <c r="R31" s="21">
        <f>IF(P$12=0,0,P31/P$12)</f>
        <v>0</v>
      </c>
      <c r="S31" s="15"/>
      <c r="T31" s="22">
        <f>+T16-T18+T29</f>
        <v>-516588</v>
      </c>
      <c r="U31" s="15"/>
      <c r="V31" s="21">
        <f>IF(T$12=0,0,T31/T$12)</f>
        <v>0</v>
      </c>
      <c r="W31" s="16"/>
      <c r="X31" s="22">
        <f>+P31-T31</f>
        <v>138832.21000000008</v>
      </c>
      <c r="Y31" s="16"/>
      <c r="Z31" s="21">
        <f>IF(T31=0,0,X31/T31)</f>
        <v>-0.26874842234043395</v>
      </c>
    </row>
    <row r="32" spans="1:26" ht="15" customHeight="1" x14ac:dyDescent="0.25">
      <c r="A32" s="10"/>
      <c r="B32" s="11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293</v>
      </c>
      <c r="C33" s="11"/>
      <c r="D33" s="5"/>
      <c r="E33" s="5"/>
      <c r="F33" s="13">
        <f>IF(D$12=0,0,D33/D$12)</f>
        <v>0</v>
      </c>
      <c r="G33" s="5"/>
      <c r="H33" s="5"/>
      <c r="I33" s="5"/>
      <c r="J33" s="13">
        <f>IF(H$12=0,0,H33/H$12)</f>
        <v>0</v>
      </c>
      <c r="K33" s="5"/>
      <c r="L33" s="5">
        <f>+D33-H33</f>
        <v>0</v>
      </c>
      <c r="M33" s="5"/>
      <c r="N33" s="13">
        <f>IF(H33=0,0,L33/H33)</f>
        <v>0</v>
      </c>
      <c r="O33" s="11"/>
      <c r="P33" s="5"/>
      <c r="Q33" s="5"/>
      <c r="R33" s="13">
        <f>IF(P$12=0,0,P33/P$12)</f>
        <v>0</v>
      </c>
      <c r="S33" s="5"/>
      <c r="T33" s="5"/>
      <c r="U33" s="5"/>
      <c r="V33" s="13">
        <f>IF(T$12=0,0,T33/T$12)</f>
        <v>0</v>
      </c>
      <c r="W33" s="5"/>
      <c r="X33" s="5">
        <f>+P33-T33</f>
        <v>0</v>
      </c>
      <c r="Y33" s="5"/>
      <c r="Z33" s="13">
        <f>IF(T33=0,0,X33/T33)</f>
        <v>0</v>
      </c>
    </row>
    <row r="34" spans="1:26" ht="15" customHeight="1" x14ac:dyDescent="0.25">
      <c r="A34" s="10"/>
      <c r="B34" s="11"/>
      <c r="C34" s="11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O34" s="11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25">
      <c r="A35" s="11"/>
      <c r="B35" s="28" t="s">
        <v>294</v>
      </c>
      <c r="C35" s="28"/>
      <c r="D35" s="34">
        <f>+D31-D33</f>
        <v>-34564.18</v>
      </c>
      <c r="E35" s="15"/>
      <c r="F35" s="32">
        <f>IF(D$12=0,0,D35/D$12)</f>
        <v>0</v>
      </c>
      <c r="G35" s="15"/>
      <c r="H35" s="34">
        <f>+H31-H33</f>
        <v>-37008</v>
      </c>
      <c r="I35" s="15"/>
      <c r="J35" s="32">
        <f>IF(H$12=0,0,H35/H$12)</f>
        <v>0</v>
      </c>
      <c r="K35" s="16"/>
      <c r="L35" s="34">
        <f>D35-H35</f>
        <v>2443.8199999999997</v>
      </c>
      <c r="M35" s="16"/>
      <c r="N35" s="32">
        <f>IF(H35=0,0,L35/H35)</f>
        <v>-6.6034911370514482E-2</v>
      </c>
      <c r="O35" s="27"/>
      <c r="P35" s="34">
        <f>+P31-P33</f>
        <v>-377755.78999999992</v>
      </c>
      <c r="Q35" s="15"/>
      <c r="R35" s="32">
        <f>IF(P$12=0,0,P35/P$12)</f>
        <v>0</v>
      </c>
      <c r="S35" s="15"/>
      <c r="T35" s="34">
        <f>+T31-T33</f>
        <v>-516588</v>
      </c>
      <c r="U35" s="15"/>
      <c r="V35" s="32">
        <f>IF(T$12=0,0,T35/T$12)</f>
        <v>0</v>
      </c>
      <c r="W35" s="16"/>
      <c r="X35" s="34">
        <f>P35-T35</f>
        <v>138832.21000000008</v>
      </c>
      <c r="Y35" s="16"/>
      <c r="Z35" s="32">
        <f>IF(T35=0,0,X35/T35)</f>
        <v>-0.26874842234043395</v>
      </c>
    </row>
    <row r="36" spans="1:26" ht="15" customHeight="1" x14ac:dyDescent="0.25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ht="15" customHeight="1" x14ac:dyDescent="0.25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25">
      <c r="A38" s="11"/>
      <c r="B38" s="28" t="s">
        <v>297</v>
      </c>
      <c r="C38" s="28"/>
      <c r="D38" s="30">
        <f>SUM(D35:D37)</f>
        <v>-34564.18</v>
      </c>
      <c r="E38" s="15"/>
      <c r="F38" s="33">
        <f>IF(D$12=0,0,D38/D$12)</f>
        <v>0</v>
      </c>
      <c r="G38" s="15"/>
      <c r="H38" s="30">
        <f>SUM(H35:H37)</f>
        <v>-37008</v>
      </c>
      <c r="I38" s="15"/>
      <c r="J38" s="33">
        <f>IF(H$12=0,0,H38/H$12)</f>
        <v>0</v>
      </c>
      <c r="K38" s="16"/>
      <c r="L38" s="30">
        <f>+D38-H38</f>
        <v>2443.8199999999997</v>
      </c>
      <c r="M38" s="16"/>
      <c r="N38" s="33">
        <f>IF(H38=0,0,L38/H38)</f>
        <v>-6.6034911370514482E-2</v>
      </c>
      <c r="O38" s="27"/>
      <c r="P38" s="30">
        <f>SUM(P35:P37)</f>
        <v>-377755.78999999992</v>
      </c>
      <c r="Q38" s="15"/>
      <c r="R38" s="33">
        <f>IF(P$12=0,0,P38/P$12)</f>
        <v>0</v>
      </c>
      <c r="S38" s="15"/>
      <c r="T38" s="30">
        <f>SUM(T35:T37)</f>
        <v>-516588</v>
      </c>
      <c r="U38" s="15"/>
      <c r="V38" s="33">
        <f>IF(T$12=0,0,T38/T$12)</f>
        <v>0</v>
      </c>
      <c r="W38" s="16"/>
      <c r="X38" s="30">
        <f>+P38-T38</f>
        <v>138832.21000000008</v>
      </c>
      <c r="Y38" s="16"/>
      <c r="Z38" s="33">
        <f>IF(T38=0,0,X38/T38)</f>
        <v>-0.26874842234043395</v>
      </c>
    </row>
    <row r="39" spans="1:26" ht="15" customHeight="1" x14ac:dyDescent="0.25">
      <c r="A39" s="10"/>
      <c r="C39" s="10"/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4">
        <v>44727.874527581022</v>
      </c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A41" s="10"/>
      <c r="B41" s="50" t="s">
        <v>298</v>
      </c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25">
      <c r="A42" s="10"/>
      <c r="B42" s="58"/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  <row r="43" spans="1:26" ht="15" customHeight="1" x14ac:dyDescent="0.25">
      <c r="D43" s="18"/>
      <c r="E43" s="18"/>
      <c r="G43" s="18"/>
      <c r="H43" s="18"/>
      <c r="I43" s="18"/>
      <c r="J43" s="40"/>
      <c r="K43" s="18"/>
      <c r="L43" s="18"/>
      <c r="M43" s="18"/>
      <c r="P43" s="18"/>
      <c r="Q43" s="18"/>
      <c r="R43" s="40"/>
      <c r="S43" s="18"/>
      <c r="T43" s="18"/>
      <c r="U43" s="18"/>
      <c r="V43" s="40"/>
      <c r="W43" s="18"/>
      <c r="X4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312D7-2575-FFB8-9502-105EEDDB87F6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","201"," - ","General Manager")</f>
        <v>Department 201 - General Manager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36125.549999999996</v>
      </c>
      <c r="E18" s="23"/>
      <c r="F18" s="31">
        <f t="shared" ref="F18:F49" si="0">IF(D$12=0,0,D18/D$12)</f>
        <v>0</v>
      </c>
      <c r="G18" s="23"/>
      <c r="H18" s="23" cm="1">
        <f t="array" ref="H18">SUM(OSRRefH22x_0)</f>
        <v>31517.382430769179</v>
      </c>
      <c r="I18" s="23"/>
      <c r="J18" s="31">
        <f t="shared" ref="J18:J49" si="1">IF(H$12=0,0,H18/H$12)</f>
        <v>0</v>
      </c>
      <c r="K18" s="5"/>
      <c r="L18" s="23">
        <f t="shared" ref="L18:L49" si="2">+D18-H18</f>
        <v>4608.1675692308163</v>
      </c>
      <c r="M18" s="5"/>
      <c r="N18" s="31">
        <f t="shared" ref="N18:N49" si="3">IF(H18=0,0,L18/H18)</f>
        <v>0.14621035167984139</v>
      </c>
      <c r="O18" s="11"/>
      <c r="P18" s="23" cm="1">
        <f t="array" ref="P18">SUM(OSRRefP22x_0)</f>
        <v>523849.50999999995</v>
      </c>
      <c r="Q18" s="23"/>
      <c r="R18" s="31">
        <f t="shared" ref="R18:R49" si="4">IF(P$12=0,0,P18/P$12)</f>
        <v>0</v>
      </c>
      <c r="S18" s="23"/>
      <c r="T18" s="23" cm="1">
        <f t="array" ref="T18">SUM(OSRRefT22x_0)</f>
        <v>512754.16195769218</v>
      </c>
      <c r="U18" s="23"/>
      <c r="V18" s="31">
        <f t="shared" ref="V18:V49" si="5">IF(T$12=0,0,T18/T$12)</f>
        <v>0</v>
      </c>
      <c r="W18" s="5"/>
      <c r="X18" s="23">
        <f t="shared" ref="X18:X49" si="6">+P18-T18</f>
        <v>11095.348042307771</v>
      </c>
      <c r="Y18" s="5"/>
      <c r="Z18" s="31">
        <f t="shared" ref="Z18:Z49" si="7">IF(T18=0,0,X18/T18)</f>
        <v>2.1638728391683456E-2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11532.369999999999</v>
      </c>
      <c r="E19" s="2"/>
      <c r="F19" s="6">
        <f t="shared" si="0"/>
        <v>0</v>
      </c>
      <c r="G19" s="2"/>
      <c r="H19" s="2">
        <f>SUM(OSRRefH22_0x_0)</f>
        <v>8338.1208923076883</v>
      </c>
      <c r="I19" s="2"/>
      <c r="J19" s="6">
        <f t="shared" si="1"/>
        <v>0</v>
      </c>
      <c r="K19" s="2"/>
      <c r="L19" s="2">
        <f t="shared" si="2"/>
        <v>3194.2491076923106</v>
      </c>
      <c r="M19" s="2"/>
      <c r="N19" s="6">
        <f t="shared" si="3"/>
        <v>0.38308980511893953</v>
      </c>
      <c r="O19" s="14"/>
      <c r="P19" s="2">
        <f>SUM(OSRRefP22_0x_0)</f>
        <v>155114.95000000001</v>
      </c>
      <c r="Q19" s="2"/>
      <c r="R19" s="6">
        <f t="shared" si="4"/>
        <v>0</v>
      </c>
      <c r="S19" s="2"/>
      <c r="T19" s="2">
        <f>SUM(OSRRefT22_0x_0)</f>
        <v>106279.94657307687</v>
      </c>
      <c r="U19" s="2"/>
      <c r="V19" s="6">
        <f t="shared" si="5"/>
        <v>0</v>
      </c>
      <c r="W19" s="2"/>
      <c r="X19" s="2">
        <f t="shared" si="6"/>
        <v>48835.00342692314</v>
      </c>
      <c r="Y19" s="2"/>
      <c r="Z19" s="6">
        <f t="shared" si="7"/>
        <v>0.45949405322051751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1717.46</v>
      </c>
      <c r="E20" s="3"/>
      <c r="F20" s="7">
        <f t="shared" si="0"/>
        <v>0</v>
      </c>
      <c r="G20" s="3"/>
      <c r="H20" s="8">
        <v>1430.0513538461501</v>
      </c>
      <c r="I20" s="3"/>
      <c r="J20" s="7">
        <f t="shared" si="1"/>
        <v>0</v>
      </c>
      <c r="K20" s="3"/>
      <c r="L20" s="8">
        <f t="shared" si="2"/>
        <v>287.40864615384999</v>
      </c>
      <c r="M20" s="3"/>
      <c r="N20" s="7">
        <f t="shared" si="3"/>
        <v>0.20097784976802338</v>
      </c>
      <c r="O20" s="12"/>
      <c r="P20" s="8">
        <v>19784.060000000001</v>
      </c>
      <c r="Q20" s="3"/>
      <c r="R20" s="7">
        <f t="shared" si="4"/>
        <v>0</v>
      </c>
      <c r="S20" s="3"/>
      <c r="T20" s="8">
        <v>19374.8351884615</v>
      </c>
      <c r="U20" s="3"/>
      <c r="V20" s="7">
        <f t="shared" si="5"/>
        <v>0</v>
      </c>
      <c r="W20" s="3"/>
      <c r="X20" s="8">
        <f t="shared" si="6"/>
        <v>409.22481153850094</v>
      </c>
      <c r="Y20" s="3"/>
      <c r="Z20" s="7">
        <f t="shared" si="7"/>
        <v>2.1121460263167083E-2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434.9</v>
      </c>
      <c r="E21" s="3"/>
      <c r="F21" s="7">
        <f t="shared" si="0"/>
        <v>0</v>
      </c>
      <c r="G21" s="3"/>
      <c r="H21" s="8">
        <v>57.927076923076903</v>
      </c>
      <c r="I21" s="3"/>
      <c r="J21" s="7">
        <f t="shared" si="1"/>
        <v>0</v>
      </c>
      <c r="K21" s="3"/>
      <c r="L21" s="8">
        <f t="shared" si="2"/>
        <v>376.97292307692305</v>
      </c>
      <c r="M21" s="3"/>
      <c r="N21" s="7">
        <f t="shared" si="3"/>
        <v>6.5077152706586014</v>
      </c>
      <c r="O21" s="12"/>
      <c r="P21" s="8">
        <v>3753.59</v>
      </c>
      <c r="Q21" s="3"/>
      <c r="R21" s="7">
        <f t="shared" si="4"/>
        <v>0</v>
      </c>
      <c r="S21" s="3"/>
      <c r="T21" s="8">
        <v>784.81626923076897</v>
      </c>
      <c r="U21" s="3"/>
      <c r="V21" s="7">
        <f t="shared" si="5"/>
        <v>0</v>
      </c>
      <c r="W21" s="3"/>
      <c r="X21" s="8">
        <f t="shared" si="6"/>
        <v>2968.7737307692314</v>
      </c>
      <c r="Y21" s="3"/>
      <c r="Z21" s="7">
        <f t="shared" si="7"/>
        <v>3.7827627269743656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3588.59</v>
      </c>
      <c r="E22" s="3"/>
      <c r="F22" s="7">
        <f t="shared" si="0"/>
        <v>0</v>
      </c>
      <c r="G22" s="3"/>
      <c r="H22" s="8">
        <v>3359</v>
      </c>
      <c r="I22" s="3"/>
      <c r="J22" s="7">
        <f t="shared" si="1"/>
        <v>0</v>
      </c>
      <c r="K22" s="3"/>
      <c r="L22" s="8">
        <f t="shared" si="2"/>
        <v>229.59000000000015</v>
      </c>
      <c r="M22" s="3"/>
      <c r="N22" s="7">
        <f t="shared" si="3"/>
        <v>6.8350699612980098E-2</v>
      </c>
      <c r="O22" s="12"/>
      <c r="P22" s="8">
        <v>41599.29</v>
      </c>
      <c r="Q22" s="3"/>
      <c r="R22" s="7">
        <f t="shared" si="4"/>
        <v>0</v>
      </c>
      <c r="S22" s="3"/>
      <c r="T22" s="8">
        <v>39713</v>
      </c>
      <c r="U22" s="3"/>
      <c r="V22" s="7">
        <f t="shared" si="5"/>
        <v>0</v>
      </c>
      <c r="W22" s="3"/>
      <c r="X22" s="8">
        <f t="shared" si="6"/>
        <v>1886.2900000000009</v>
      </c>
      <c r="Y22" s="3"/>
      <c r="Z22" s="7">
        <f t="shared" si="7"/>
        <v>4.7498048497972976E-2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87.65</v>
      </c>
      <c r="E23" s="3"/>
      <c r="F23" s="7">
        <f t="shared" si="0"/>
        <v>0</v>
      </c>
      <c r="G23" s="3"/>
      <c r="H23" s="8">
        <v>39.240923076923103</v>
      </c>
      <c r="I23" s="3"/>
      <c r="J23" s="7">
        <f t="shared" si="1"/>
        <v>0</v>
      </c>
      <c r="K23" s="3"/>
      <c r="L23" s="8">
        <f t="shared" si="2"/>
        <v>48.409076923076903</v>
      </c>
      <c r="M23" s="3"/>
      <c r="N23" s="7">
        <f t="shared" si="3"/>
        <v>1.2336375683156502</v>
      </c>
      <c r="O23" s="12"/>
      <c r="P23" s="8">
        <v>756.53</v>
      </c>
      <c r="Q23" s="3"/>
      <c r="R23" s="7">
        <f t="shared" si="4"/>
        <v>0</v>
      </c>
      <c r="S23" s="3"/>
      <c r="T23" s="8">
        <v>531.64973076923104</v>
      </c>
      <c r="U23" s="3"/>
      <c r="V23" s="7">
        <f t="shared" si="5"/>
        <v>0</v>
      </c>
      <c r="W23" s="3"/>
      <c r="X23" s="8">
        <f t="shared" si="6"/>
        <v>224.88026923076893</v>
      </c>
      <c r="Y23" s="3"/>
      <c r="Z23" s="7">
        <f t="shared" si="7"/>
        <v>0.42298576716176484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2407.25</v>
      </c>
      <c r="E24" s="3"/>
      <c r="F24" s="7">
        <f t="shared" si="0"/>
        <v>0</v>
      </c>
      <c r="G24" s="3"/>
      <c r="H24" s="8">
        <v>1607.00923076923</v>
      </c>
      <c r="I24" s="3"/>
      <c r="J24" s="7">
        <f t="shared" si="1"/>
        <v>0</v>
      </c>
      <c r="K24" s="3"/>
      <c r="L24" s="8">
        <f t="shared" si="2"/>
        <v>800.24076923076996</v>
      </c>
      <c r="M24" s="3"/>
      <c r="N24" s="7">
        <f t="shared" si="3"/>
        <v>0.49796899352452212</v>
      </c>
      <c r="O24" s="12"/>
      <c r="P24" s="8">
        <v>26298.5</v>
      </c>
      <c r="Q24" s="3"/>
      <c r="R24" s="7">
        <f t="shared" si="4"/>
        <v>0</v>
      </c>
      <c r="S24" s="3"/>
      <c r="T24" s="8">
        <v>21772.322307692299</v>
      </c>
      <c r="U24" s="3"/>
      <c r="V24" s="7">
        <f t="shared" si="5"/>
        <v>0</v>
      </c>
      <c r="W24" s="3"/>
      <c r="X24" s="8">
        <f t="shared" si="6"/>
        <v>4526.1776923077014</v>
      </c>
      <c r="Y24" s="3"/>
      <c r="Z24" s="7">
        <f t="shared" si="7"/>
        <v>0.20788676689342295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>
        <v>1984.64</v>
      </c>
      <c r="E26" s="3"/>
      <c r="F26" s="7">
        <f t="shared" si="0"/>
        <v>0</v>
      </c>
      <c r="G26" s="3"/>
      <c r="H26" s="8">
        <v>934.30769230769204</v>
      </c>
      <c r="I26" s="3"/>
      <c r="J26" s="7">
        <f t="shared" si="1"/>
        <v>0</v>
      </c>
      <c r="K26" s="3"/>
      <c r="L26" s="8">
        <f t="shared" si="2"/>
        <v>1050.3323076923079</v>
      </c>
      <c r="M26" s="3"/>
      <c r="N26" s="7">
        <f t="shared" si="3"/>
        <v>1.1241824468960981</v>
      </c>
      <c r="O26" s="12"/>
      <c r="P26" s="8">
        <v>28631.17</v>
      </c>
      <c r="Q26" s="3"/>
      <c r="R26" s="7">
        <f t="shared" si="4"/>
        <v>0</v>
      </c>
      <c r="S26" s="3"/>
      <c r="T26" s="8">
        <v>12658.3269230769</v>
      </c>
      <c r="U26" s="3"/>
      <c r="V26" s="7">
        <f t="shared" si="5"/>
        <v>0</v>
      </c>
      <c r="W26" s="3"/>
      <c r="X26" s="8">
        <f t="shared" si="6"/>
        <v>15972.843076923098</v>
      </c>
      <c r="Y26" s="3"/>
      <c r="Z26" s="7">
        <f t="shared" si="7"/>
        <v>1.2618447267153161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>
        <v>1020.54</v>
      </c>
      <c r="E27" s="3"/>
      <c r="F27" s="7">
        <f t="shared" si="0"/>
        <v>0</v>
      </c>
      <c r="G27" s="3"/>
      <c r="H27" s="8">
        <v>560.58461538461597</v>
      </c>
      <c r="I27" s="3"/>
      <c r="J27" s="7">
        <f t="shared" si="1"/>
        <v>0</v>
      </c>
      <c r="K27" s="3"/>
      <c r="L27" s="8">
        <f t="shared" si="2"/>
        <v>459.95538461538399</v>
      </c>
      <c r="M27" s="3"/>
      <c r="N27" s="7">
        <f t="shared" si="3"/>
        <v>0.82049234315823938</v>
      </c>
      <c r="O27" s="12"/>
      <c r="P27" s="8">
        <v>31866.99</v>
      </c>
      <c r="Q27" s="3"/>
      <c r="R27" s="7">
        <f t="shared" si="4"/>
        <v>0</v>
      </c>
      <c r="S27" s="3"/>
      <c r="T27" s="8">
        <v>7594.9961538461603</v>
      </c>
      <c r="U27" s="3"/>
      <c r="V27" s="7">
        <f t="shared" si="5"/>
        <v>0</v>
      </c>
      <c r="W27" s="3"/>
      <c r="X27" s="8">
        <f t="shared" si="6"/>
        <v>24271.99384615384</v>
      </c>
      <c r="Y27" s="3"/>
      <c r="Z27" s="7">
        <f t="shared" si="7"/>
        <v>3.1957875098939095</v>
      </c>
    </row>
    <row r="28" spans="1:26" s="70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8">
        <v>291.33999999999997</v>
      </c>
      <c r="E28" s="3"/>
      <c r="F28" s="7">
        <f t="shared" si="0"/>
        <v>0</v>
      </c>
      <c r="G28" s="3"/>
      <c r="H28" s="8">
        <v>350</v>
      </c>
      <c r="I28" s="3"/>
      <c r="J28" s="7">
        <f t="shared" si="1"/>
        <v>0</v>
      </c>
      <c r="K28" s="3"/>
      <c r="L28" s="8">
        <f t="shared" si="2"/>
        <v>-58.660000000000025</v>
      </c>
      <c r="M28" s="3"/>
      <c r="N28" s="7">
        <f t="shared" si="3"/>
        <v>-0.16760000000000008</v>
      </c>
      <c r="O28" s="12"/>
      <c r="P28" s="8">
        <v>2424.8200000000002</v>
      </c>
      <c r="Q28" s="3"/>
      <c r="R28" s="7">
        <f t="shared" si="4"/>
        <v>0</v>
      </c>
      <c r="S28" s="3"/>
      <c r="T28" s="8">
        <v>3850</v>
      </c>
      <c r="U28" s="3"/>
      <c r="V28" s="7">
        <f t="shared" si="5"/>
        <v>0</v>
      </c>
      <c r="W28" s="3"/>
      <c r="X28" s="8">
        <f t="shared" si="6"/>
        <v>-1425.1799999999998</v>
      </c>
      <c r="Y28" s="3"/>
      <c r="Z28" s="7">
        <f t="shared" si="7"/>
        <v>-0.37017662337662333</v>
      </c>
    </row>
    <row r="29" spans="1:26" s="69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20462.230000000003</v>
      </c>
      <c r="E29" s="2"/>
      <c r="F29" s="6">
        <f t="shared" si="0"/>
        <v>0</v>
      </c>
      <c r="G29" s="2"/>
      <c r="H29" s="2">
        <f>SUM(OSRRefH22_1x_0)</f>
        <v>17191.261538461491</v>
      </c>
      <c r="I29" s="2"/>
      <c r="J29" s="6">
        <f t="shared" si="1"/>
        <v>0</v>
      </c>
      <c r="K29" s="2"/>
      <c r="L29" s="2">
        <f t="shared" si="2"/>
        <v>3270.9684615385122</v>
      </c>
      <c r="M29" s="2"/>
      <c r="N29" s="6">
        <f t="shared" si="3"/>
        <v>0.19026925128330305</v>
      </c>
      <c r="O29" s="14"/>
      <c r="P29" s="2">
        <f>SUM(OSRRefP22_1x_0)</f>
        <v>235282.65000000002</v>
      </c>
      <c r="Q29" s="2"/>
      <c r="R29" s="6">
        <f t="shared" si="4"/>
        <v>0</v>
      </c>
      <c r="S29" s="2"/>
      <c r="T29" s="2">
        <f>SUM(OSRRefT22_1x_0)</f>
        <v>232913.21538461529</v>
      </c>
      <c r="U29" s="2"/>
      <c r="V29" s="6">
        <f t="shared" si="5"/>
        <v>0</v>
      </c>
      <c r="W29" s="2"/>
      <c r="X29" s="2">
        <f t="shared" si="6"/>
        <v>2369.4346153847291</v>
      </c>
      <c r="Y29" s="2"/>
      <c r="Z29" s="6">
        <f t="shared" si="7"/>
        <v>1.0173036388132909E-2</v>
      </c>
    </row>
    <row r="30" spans="1:26" s="70" customFormat="1" ht="15" hidden="1" customHeight="1" outlineLevel="2" x14ac:dyDescent="0.25">
      <c r="A30" s="25"/>
      <c r="B30" s="12" t="str">
        <f>CONCATENATE("          ","6001"," - ","ADMINISTRATIVE SALARIES")</f>
        <v xml:space="preserve">          6001 - ADMINISTRATIVE SALARIES</v>
      </c>
      <c r="C30" s="12"/>
      <c r="D30" s="8">
        <v>16642.97</v>
      </c>
      <c r="E30" s="3"/>
      <c r="F30" s="7">
        <f t="shared" si="0"/>
        <v>0</v>
      </c>
      <c r="G30" s="3"/>
      <c r="H30" s="8">
        <v>12526.1538461538</v>
      </c>
      <c r="I30" s="3"/>
      <c r="J30" s="7">
        <f t="shared" si="1"/>
        <v>0</v>
      </c>
      <c r="K30" s="3"/>
      <c r="L30" s="8">
        <f t="shared" si="2"/>
        <v>4116.8161538462009</v>
      </c>
      <c r="M30" s="3"/>
      <c r="N30" s="7">
        <f t="shared" si="3"/>
        <v>0.32865763940064363</v>
      </c>
      <c r="O30" s="12"/>
      <c r="P30" s="8">
        <v>182036.26</v>
      </c>
      <c r="Q30" s="3"/>
      <c r="R30" s="7">
        <f t="shared" si="4"/>
        <v>0</v>
      </c>
      <c r="S30" s="3"/>
      <c r="T30" s="8">
        <v>176931.92307692301</v>
      </c>
      <c r="U30" s="3"/>
      <c r="V30" s="7">
        <f t="shared" si="5"/>
        <v>0</v>
      </c>
      <c r="W30" s="3"/>
      <c r="X30" s="8">
        <f t="shared" si="6"/>
        <v>5104.336923077004</v>
      </c>
      <c r="Y30" s="3"/>
      <c r="Z30" s="7">
        <f t="shared" si="7"/>
        <v>2.8849157542123364E-2</v>
      </c>
    </row>
    <row r="31" spans="1:26" s="70" customFormat="1" ht="15" hidden="1" customHeight="1" outlineLevel="2" x14ac:dyDescent="0.25">
      <c r="A31" s="25"/>
      <c r="B31" s="12" t="str">
        <f>CONCATENATE("          ","6002"," - ","STAFF SALARIES")</f>
        <v xml:space="preserve">          6002 - STAFF SALARIES</v>
      </c>
      <c r="C31" s="12"/>
      <c r="D31" s="8">
        <v>3819.26</v>
      </c>
      <c r="E31" s="3"/>
      <c r="F31" s="7">
        <f t="shared" si="0"/>
        <v>0</v>
      </c>
      <c r="G31" s="3"/>
      <c r="H31" s="8">
        <v>4665.1076923076898</v>
      </c>
      <c r="I31" s="3"/>
      <c r="J31" s="7">
        <f t="shared" si="1"/>
        <v>0</v>
      </c>
      <c r="K31" s="3"/>
      <c r="L31" s="8">
        <f t="shared" si="2"/>
        <v>-845.84769230768961</v>
      </c>
      <c r="M31" s="3"/>
      <c r="N31" s="7">
        <f t="shared" si="3"/>
        <v>-0.18131364763613292</v>
      </c>
      <c r="O31" s="12"/>
      <c r="P31" s="8">
        <v>53116.29</v>
      </c>
      <c r="Q31" s="3"/>
      <c r="R31" s="7">
        <f t="shared" si="4"/>
        <v>0</v>
      </c>
      <c r="S31" s="3"/>
      <c r="T31" s="8">
        <v>55981.292307692303</v>
      </c>
      <c r="U31" s="3"/>
      <c r="V31" s="7">
        <f t="shared" si="5"/>
        <v>0</v>
      </c>
      <c r="W31" s="3"/>
      <c r="X31" s="8">
        <f t="shared" si="6"/>
        <v>-2865.0023076923026</v>
      </c>
      <c r="Y31" s="3"/>
      <c r="Z31" s="7">
        <f t="shared" si="7"/>
        <v>-5.1177852271527983E-2</v>
      </c>
    </row>
    <row r="32" spans="1:26" s="70" customFormat="1" ht="15" hidden="1" customHeight="1" outlineLevel="2" x14ac:dyDescent="0.25">
      <c r="A32" s="25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70.88</v>
      </c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70.88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59.22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59.22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25">
      <c r="A40" s="26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250</v>
      </c>
      <c r="I40" s="2"/>
      <c r="J40" s="6">
        <f t="shared" si="1"/>
        <v>0</v>
      </c>
      <c r="K40" s="2"/>
      <c r="L40" s="2">
        <f t="shared" si="2"/>
        <v>-250</v>
      </c>
      <c r="M40" s="2"/>
      <c r="N40" s="6">
        <f t="shared" si="3"/>
        <v>-1</v>
      </c>
      <c r="O40" s="14"/>
      <c r="P40" s="2">
        <f>SUM(OSRRefP22_2x_0)</f>
        <v>1969.62</v>
      </c>
      <c r="Q40" s="2"/>
      <c r="R40" s="6">
        <f t="shared" si="4"/>
        <v>0</v>
      </c>
      <c r="S40" s="2"/>
      <c r="T40" s="2">
        <f>SUM(OSRRefT22_2x_0)</f>
        <v>2350</v>
      </c>
      <c r="U40" s="2"/>
      <c r="V40" s="6">
        <f t="shared" si="5"/>
        <v>0</v>
      </c>
      <c r="W40" s="2"/>
      <c r="X40" s="2">
        <f t="shared" si="6"/>
        <v>-380.38000000000011</v>
      </c>
      <c r="Y40" s="2"/>
      <c r="Z40" s="6">
        <f t="shared" si="7"/>
        <v>-0.1618638297872341</v>
      </c>
    </row>
    <row r="41" spans="1:26" s="70" customFormat="1" ht="15" hidden="1" customHeight="1" outlineLevel="2" x14ac:dyDescent="0.25">
      <c r="A41" s="25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>
        <v>250</v>
      </c>
      <c r="I41" s="3"/>
      <c r="J41" s="7">
        <f t="shared" si="1"/>
        <v>0</v>
      </c>
      <c r="K41" s="3"/>
      <c r="L41" s="8">
        <f t="shared" si="2"/>
        <v>-250</v>
      </c>
      <c r="M41" s="3"/>
      <c r="N41" s="7">
        <f t="shared" si="3"/>
        <v>-1</v>
      </c>
      <c r="O41" s="12"/>
      <c r="P41" s="8">
        <v>1969.62</v>
      </c>
      <c r="Q41" s="3"/>
      <c r="R41" s="7">
        <f t="shared" si="4"/>
        <v>0</v>
      </c>
      <c r="S41" s="3"/>
      <c r="T41" s="8">
        <v>2350</v>
      </c>
      <c r="U41" s="3"/>
      <c r="V41" s="7">
        <f t="shared" si="5"/>
        <v>0</v>
      </c>
      <c r="W41" s="3"/>
      <c r="X41" s="8">
        <f t="shared" si="6"/>
        <v>-380.38000000000011</v>
      </c>
      <c r="Y41" s="3"/>
      <c r="Z41" s="7">
        <f t="shared" si="7"/>
        <v>-0.1618638297872341</v>
      </c>
    </row>
    <row r="42" spans="1:26" s="69" customFormat="1" ht="15" customHeight="1" outlineLevel="1" collapsed="1" x14ac:dyDescent="0.25">
      <c r="A42" s="26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314.87</v>
      </c>
      <c r="E42" s="2"/>
      <c r="F42" s="6">
        <f t="shared" si="0"/>
        <v>0</v>
      </c>
      <c r="G42" s="2"/>
      <c r="H42" s="2">
        <f>SUM(OSRRefH22_3x_0)</f>
        <v>315</v>
      </c>
      <c r="I42" s="2"/>
      <c r="J42" s="6">
        <f t="shared" si="1"/>
        <v>0</v>
      </c>
      <c r="K42" s="2"/>
      <c r="L42" s="2">
        <f t="shared" si="2"/>
        <v>-0.12999999999999545</v>
      </c>
      <c r="M42" s="2"/>
      <c r="N42" s="6">
        <f t="shared" si="3"/>
        <v>-4.1269841269839827E-4</v>
      </c>
      <c r="O42" s="14"/>
      <c r="P42" s="2">
        <f>SUM(OSRRefP22_3x_0)</f>
        <v>3463.57</v>
      </c>
      <c r="Q42" s="2"/>
      <c r="R42" s="6">
        <f t="shared" si="4"/>
        <v>0</v>
      </c>
      <c r="S42" s="2"/>
      <c r="T42" s="2">
        <f>SUM(OSRRefT22_3x_0)</f>
        <v>3465</v>
      </c>
      <c r="U42" s="2"/>
      <c r="V42" s="6">
        <f t="shared" si="5"/>
        <v>0</v>
      </c>
      <c r="W42" s="2"/>
      <c r="X42" s="2">
        <f t="shared" si="6"/>
        <v>-1.4299999999998363</v>
      </c>
      <c r="Y42" s="2"/>
      <c r="Z42" s="6">
        <f t="shared" si="7"/>
        <v>-4.1269841269836547E-4</v>
      </c>
    </row>
    <row r="43" spans="1:26" s="70" customFormat="1" ht="15" hidden="1" customHeight="1" outlineLevel="2" x14ac:dyDescent="0.25">
      <c r="A43" s="25"/>
      <c r="B43" s="12" t="str">
        <f>CONCATENATE("          ","6322"," - ","EQUIPMENT DEPRECIATION EXPENSE")</f>
        <v xml:space="preserve">          6322 - EQUIPMENT DEPRECIATION EXPENSE</v>
      </c>
      <c r="C43" s="12"/>
      <c r="D43" s="8">
        <v>314.87</v>
      </c>
      <c r="E43" s="3"/>
      <c r="F43" s="7">
        <f t="shared" si="0"/>
        <v>0</v>
      </c>
      <c r="G43" s="3"/>
      <c r="H43" s="8">
        <v>315</v>
      </c>
      <c r="I43" s="3"/>
      <c r="J43" s="7">
        <f t="shared" si="1"/>
        <v>0</v>
      </c>
      <c r="K43" s="3"/>
      <c r="L43" s="8">
        <f t="shared" si="2"/>
        <v>-0.12999999999999545</v>
      </c>
      <c r="M43" s="3"/>
      <c r="N43" s="7">
        <f t="shared" si="3"/>
        <v>-4.1269841269839827E-4</v>
      </c>
      <c r="O43" s="12"/>
      <c r="P43" s="8">
        <v>3463.57</v>
      </c>
      <c r="Q43" s="3"/>
      <c r="R43" s="7">
        <f t="shared" si="4"/>
        <v>0</v>
      </c>
      <c r="S43" s="3"/>
      <c r="T43" s="8">
        <v>3465</v>
      </c>
      <c r="U43" s="3"/>
      <c r="V43" s="7">
        <f t="shared" si="5"/>
        <v>0</v>
      </c>
      <c r="W43" s="3"/>
      <c r="X43" s="8">
        <f t="shared" si="6"/>
        <v>-1.4299999999998363</v>
      </c>
      <c r="Y43" s="3"/>
      <c r="Z43" s="7">
        <f t="shared" si="7"/>
        <v>-4.1269841269836547E-4</v>
      </c>
    </row>
    <row r="44" spans="1:26" s="69" customFormat="1" ht="15" customHeight="1" outlineLevel="1" collapsed="1" x14ac:dyDescent="0.25">
      <c r="A44" s="26"/>
      <c r="B44" s="14" t="str">
        <f>CONCATENATE("     ","Donations                                         ")</f>
        <v xml:space="preserve">     Donations             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500</v>
      </c>
      <c r="I44" s="2"/>
      <c r="J44" s="6">
        <f t="shared" si="1"/>
        <v>0</v>
      </c>
      <c r="K44" s="2"/>
      <c r="L44" s="2">
        <f t="shared" si="2"/>
        <v>-500</v>
      </c>
      <c r="M44" s="2"/>
      <c r="N44" s="6">
        <f t="shared" si="3"/>
        <v>-1</v>
      </c>
      <c r="O44" s="14"/>
      <c r="P44" s="2">
        <f>SUM(OSRRefP22_4x_0)</f>
        <v>25300</v>
      </c>
      <c r="Q44" s="2"/>
      <c r="R44" s="6">
        <f t="shared" si="4"/>
        <v>0</v>
      </c>
      <c r="S44" s="2"/>
      <c r="T44" s="2">
        <f>SUM(OSRRefT22_4x_0)</f>
        <v>63950</v>
      </c>
      <c r="U44" s="2"/>
      <c r="V44" s="6">
        <f t="shared" si="5"/>
        <v>0</v>
      </c>
      <c r="W44" s="2"/>
      <c r="X44" s="2">
        <f t="shared" si="6"/>
        <v>-38650</v>
      </c>
      <c r="Y44" s="2"/>
      <c r="Z44" s="6">
        <f t="shared" si="7"/>
        <v>-0.6043784206411259</v>
      </c>
    </row>
    <row r="45" spans="1:26" s="70" customFormat="1" ht="15" hidden="1" customHeight="1" outlineLevel="2" x14ac:dyDescent="0.25">
      <c r="A45" s="25"/>
      <c r="B45" s="12" t="str">
        <f>CONCATENATE("          ","6399"," - ","DONATION-ON CAMPUS")</f>
        <v xml:space="preserve">          6399 - DONATION-ON CAMPUS</v>
      </c>
      <c r="C45" s="12"/>
      <c r="D45" s="8"/>
      <c r="E45" s="3"/>
      <c r="F45" s="7">
        <f t="shared" si="0"/>
        <v>0</v>
      </c>
      <c r="G45" s="3"/>
      <c r="H45" s="8">
        <v>500</v>
      </c>
      <c r="I45" s="3"/>
      <c r="J45" s="7">
        <f t="shared" si="1"/>
        <v>0</v>
      </c>
      <c r="K45" s="3"/>
      <c r="L45" s="8">
        <f t="shared" si="2"/>
        <v>-500</v>
      </c>
      <c r="M45" s="3"/>
      <c r="N45" s="7">
        <f t="shared" si="3"/>
        <v>-1</v>
      </c>
      <c r="O45" s="12"/>
      <c r="P45" s="8">
        <v>25300</v>
      </c>
      <c r="Q45" s="3"/>
      <c r="R45" s="7">
        <f t="shared" si="4"/>
        <v>0</v>
      </c>
      <c r="S45" s="3"/>
      <c r="T45" s="8">
        <v>63950</v>
      </c>
      <c r="U45" s="3"/>
      <c r="V45" s="7">
        <f t="shared" si="5"/>
        <v>0</v>
      </c>
      <c r="W45" s="3"/>
      <c r="X45" s="8">
        <f t="shared" si="6"/>
        <v>-38650</v>
      </c>
      <c r="Y45" s="3"/>
      <c r="Z45" s="7">
        <f t="shared" si="7"/>
        <v>-0.6043784206411259</v>
      </c>
    </row>
    <row r="46" spans="1:26" s="69" customFormat="1" ht="15" customHeight="1" outlineLevel="1" collapsed="1" x14ac:dyDescent="0.25">
      <c r="A46" s="26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SUM(OSRRefD22_5x_0)</f>
        <v>136.71</v>
      </c>
      <c r="E46" s="2"/>
      <c r="F46" s="6">
        <f t="shared" si="0"/>
        <v>0</v>
      </c>
      <c r="G46" s="2"/>
      <c r="H46" s="2">
        <f>SUM(OSRRefH22_5x_0)</f>
        <v>0</v>
      </c>
      <c r="I46" s="2"/>
      <c r="J46" s="6">
        <f t="shared" si="1"/>
        <v>0</v>
      </c>
      <c r="K46" s="2"/>
      <c r="L46" s="2">
        <f t="shared" si="2"/>
        <v>136.71</v>
      </c>
      <c r="M46" s="2"/>
      <c r="N46" s="6">
        <f t="shared" si="3"/>
        <v>0</v>
      </c>
      <c r="O46" s="14"/>
      <c r="P46" s="2">
        <f>SUM(OSRRefP22_5x_0)</f>
        <v>772.29</v>
      </c>
      <c r="Q46" s="2"/>
      <c r="R46" s="6">
        <f t="shared" si="4"/>
        <v>0</v>
      </c>
      <c r="S46" s="2"/>
      <c r="T46" s="2">
        <f>SUM(OSRRefT22_5x_0)</f>
        <v>3000</v>
      </c>
      <c r="U46" s="2"/>
      <c r="V46" s="6">
        <f t="shared" si="5"/>
        <v>0</v>
      </c>
      <c r="W46" s="2"/>
      <c r="X46" s="2">
        <f t="shared" si="6"/>
        <v>-2227.71</v>
      </c>
      <c r="Y46" s="2"/>
      <c r="Z46" s="6">
        <f t="shared" si="7"/>
        <v>-0.74257000000000006</v>
      </c>
    </row>
    <row r="47" spans="1:26" s="70" customFormat="1" ht="15" hidden="1" customHeight="1" outlineLevel="2" x14ac:dyDescent="0.25">
      <c r="A47" s="25"/>
      <c r="B47" s="12" t="str">
        <f>CONCATENATE("          ","6277"," - ","EMPLOYEE APPRECIATION")</f>
        <v xml:space="preserve">          6277 - EMPLOYEE APPRECIATION</v>
      </c>
      <c r="C47" s="12"/>
      <c r="D47" s="8">
        <v>136.71</v>
      </c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136.71</v>
      </c>
      <c r="M47" s="3"/>
      <c r="N47" s="7">
        <f t="shared" si="3"/>
        <v>0</v>
      </c>
      <c r="O47" s="12"/>
      <c r="P47" s="8">
        <v>772.29</v>
      </c>
      <c r="Q47" s="3"/>
      <c r="R47" s="7">
        <f t="shared" si="4"/>
        <v>0</v>
      </c>
      <c r="S47" s="3"/>
      <c r="T47" s="8">
        <v>3000</v>
      </c>
      <c r="U47" s="3"/>
      <c r="V47" s="7">
        <f t="shared" si="5"/>
        <v>0</v>
      </c>
      <c r="W47" s="3"/>
      <c r="X47" s="8">
        <f t="shared" si="6"/>
        <v>-2227.71</v>
      </c>
      <c r="Y47" s="3"/>
      <c r="Z47" s="7">
        <f t="shared" si="7"/>
        <v>-0.74257000000000006</v>
      </c>
    </row>
    <row r="48" spans="1:26" s="69" customFormat="1" ht="15" customHeight="1" outlineLevel="1" collapsed="1" x14ac:dyDescent="0.25">
      <c r="A48" s="26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SUM(OSRRefD22_6x_0)</f>
        <v>117.71</v>
      </c>
      <c r="E48" s="2"/>
      <c r="F48" s="6">
        <f t="shared" si="0"/>
        <v>0</v>
      </c>
      <c r="G48" s="2"/>
      <c r="H48" s="2">
        <f>SUM(OSRRefH22_6x_0)</f>
        <v>118</v>
      </c>
      <c r="I48" s="2"/>
      <c r="J48" s="6">
        <f t="shared" si="1"/>
        <v>0</v>
      </c>
      <c r="K48" s="2"/>
      <c r="L48" s="2">
        <f t="shared" si="2"/>
        <v>-0.29000000000000625</v>
      </c>
      <c r="M48" s="2"/>
      <c r="N48" s="6">
        <f t="shared" si="3"/>
        <v>-2.457627118644121E-3</v>
      </c>
      <c r="O48" s="14"/>
      <c r="P48" s="2">
        <f>SUM(OSRRefP22_6x_0)</f>
        <v>1294.81</v>
      </c>
      <c r="Q48" s="2"/>
      <c r="R48" s="6">
        <f t="shared" si="4"/>
        <v>0</v>
      </c>
      <c r="S48" s="2"/>
      <c r="T48" s="2">
        <f>SUM(OSRRefT22_6x_0)</f>
        <v>1298</v>
      </c>
      <c r="U48" s="2"/>
      <c r="V48" s="6">
        <f t="shared" si="5"/>
        <v>0</v>
      </c>
      <c r="W48" s="2"/>
      <c r="X48" s="2">
        <f t="shared" si="6"/>
        <v>-3.1900000000000546</v>
      </c>
      <c r="Y48" s="2"/>
      <c r="Z48" s="6">
        <f t="shared" si="7"/>
        <v>-2.4576271186441097E-3</v>
      </c>
    </row>
    <row r="49" spans="1:26" s="70" customFormat="1" ht="15" hidden="1" customHeight="1" outlineLevel="2" x14ac:dyDescent="0.25">
      <c r="A49" s="25"/>
      <c r="B49" s="12" t="str">
        <f>CONCATENATE("          ","6351"," - ","EQUIPMENT RENTAL")</f>
        <v xml:space="preserve">          6351 - EQUIPMENT RENTAL</v>
      </c>
      <c r="C49" s="12"/>
      <c r="D49" s="8">
        <v>117.71</v>
      </c>
      <c r="E49" s="3"/>
      <c r="F49" s="7">
        <f t="shared" si="0"/>
        <v>0</v>
      </c>
      <c r="G49" s="3"/>
      <c r="H49" s="8">
        <v>118</v>
      </c>
      <c r="I49" s="3"/>
      <c r="J49" s="7">
        <f t="shared" si="1"/>
        <v>0</v>
      </c>
      <c r="K49" s="3"/>
      <c r="L49" s="8">
        <f t="shared" si="2"/>
        <v>-0.29000000000000625</v>
      </c>
      <c r="M49" s="3"/>
      <c r="N49" s="7">
        <f t="shared" si="3"/>
        <v>-2.457627118644121E-3</v>
      </c>
      <c r="O49" s="12"/>
      <c r="P49" s="8">
        <v>1294.81</v>
      </c>
      <c r="Q49" s="3"/>
      <c r="R49" s="7">
        <f t="shared" si="4"/>
        <v>0</v>
      </c>
      <c r="S49" s="3"/>
      <c r="T49" s="8">
        <v>1298</v>
      </c>
      <c r="U49" s="3"/>
      <c r="V49" s="7">
        <f t="shared" si="5"/>
        <v>0</v>
      </c>
      <c r="W49" s="3"/>
      <c r="X49" s="8">
        <f t="shared" si="6"/>
        <v>-3.1900000000000546</v>
      </c>
      <c r="Y49" s="3"/>
      <c r="Z49" s="7">
        <f t="shared" si="7"/>
        <v>-2.4576271186441097E-3</v>
      </c>
    </row>
    <row r="50" spans="1:26" s="69" customFormat="1" ht="15" customHeight="1" outlineLevel="1" collapsed="1" x14ac:dyDescent="0.25">
      <c r="A50" s="26"/>
      <c r="B50" s="14" t="str">
        <f>CONCATENATE("     ","Freight out/Postage                               ")</f>
        <v xml:space="preserve">     Freight out/Postage                               </v>
      </c>
      <c r="C50" s="14"/>
      <c r="D50" s="2">
        <f>SUM(OSRRefD22_7x_0)</f>
        <v>0</v>
      </c>
      <c r="E50" s="2"/>
      <c r="F50" s="6">
        <f t="shared" ref="F50:F71" si="8">IF(D$12=0,0,D50/D$12)</f>
        <v>0</v>
      </c>
      <c r="G50" s="2"/>
      <c r="H50" s="2">
        <f>SUM(OSRRefH22_7x_0)</f>
        <v>25</v>
      </c>
      <c r="I50" s="2"/>
      <c r="J50" s="6">
        <f t="shared" ref="J50:J71" si="9">IF(H$12=0,0,H50/H$12)</f>
        <v>0</v>
      </c>
      <c r="K50" s="2"/>
      <c r="L50" s="2">
        <f t="shared" ref="L50:L71" si="10">+D50-H50</f>
        <v>-25</v>
      </c>
      <c r="M50" s="2"/>
      <c r="N50" s="6">
        <f t="shared" ref="N50:N71" si="11">IF(H50=0,0,L50/H50)</f>
        <v>-1</v>
      </c>
      <c r="O50" s="14"/>
      <c r="P50" s="2">
        <f>SUM(OSRRefP22_7x_0)</f>
        <v>32.17</v>
      </c>
      <c r="Q50" s="2"/>
      <c r="R50" s="6">
        <f t="shared" ref="R50:R71" si="12">IF(P$12=0,0,P50/P$12)</f>
        <v>0</v>
      </c>
      <c r="S50" s="2"/>
      <c r="T50" s="2">
        <f>SUM(OSRRefT22_7x_0)</f>
        <v>725</v>
      </c>
      <c r="U50" s="2"/>
      <c r="V50" s="6">
        <f t="shared" ref="V50:V71" si="13">IF(T$12=0,0,T50/T$12)</f>
        <v>0</v>
      </c>
      <c r="W50" s="2"/>
      <c r="X50" s="2">
        <f t="shared" ref="X50:X71" si="14">+P50-T50</f>
        <v>-692.83</v>
      </c>
      <c r="Y50" s="2"/>
      <c r="Z50" s="6">
        <f t="shared" ref="Z50:Z71" si="15">IF(T50=0,0,X50/T50)</f>
        <v>-0.95562758620689658</v>
      </c>
    </row>
    <row r="51" spans="1:26" s="70" customFormat="1" ht="15" hidden="1" customHeight="1" outlineLevel="2" x14ac:dyDescent="0.25">
      <c r="A51" s="25"/>
      <c r="B51" s="12" t="str">
        <f>CONCATENATE("          ","6307"," - ","POSTAGE")</f>
        <v xml:space="preserve">          6307 - POSTAGE</v>
      </c>
      <c r="C51" s="12"/>
      <c r="D51" s="8"/>
      <c r="E51" s="3"/>
      <c r="F51" s="7">
        <f t="shared" si="8"/>
        <v>0</v>
      </c>
      <c r="G51" s="3"/>
      <c r="H51" s="8">
        <v>25</v>
      </c>
      <c r="I51" s="3"/>
      <c r="J51" s="7">
        <f t="shared" si="9"/>
        <v>0</v>
      </c>
      <c r="K51" s="3"/>
      <c r="L51" s="8">
        <f t="shared" si="10"/>
        <v>-25</v>
      </c>
      <c r="M51" s="3"/>
      <c r="N51" s="7">
        <f t="shared" si="11"/>
        <v>-1</v>
      </c>
      <c r="O51" s="12"/>
      <c r="P51" s="8">
        <v>32.17</v>
      </c>
      <c r="Q51" s="3"/>
      <c r="R51" s="7">
        <f t="shared" si="12"/>
        <v>0</v>
      </c>
      <c r="S51" s="3"/>
      <c r="T51" s="8">
        <v>725</v>
      </c>
      <c r="U51" s="3"/>
      <c r="V51" s="7">
        <f t="shared" si="13"/>
        <v>0</v>
      </c>
      <c r="W51" s="3"/>
      <c r="X51" s="8">
        <f t="shared" si="14"/>
        <v>-692.83</v>
      </c>
      <c r="Y51" s="3"/>
      <c r="Z51" s="7">
        <f t="shared" si="15"/>
        <v>-0.95562758620689658</v>
      </c>
    </row>
    <row r="52" spans="1:26" s="69" customFormat="1" ht="15" customHeight="1" outlineLevel="1" collapsed="1" x14ac:dyDescent="0.25">
      <c r="A52" s="26"/>
      <c r="B52" s="14" t="str">
        <f>CONCATENATE("     ","Insurance                                         ")</f>
        <v xml:space="preserve">     Insurance                                         </v>
      </c>
      <c r="C52" s="14"/>
      <c r="D52" s="2">
        <f>SUM(OSRRefD22_8x_0)</f>
        <v>156.47999999999999</v>
      </c>
      <c r="E52" s="2"/>
      <c r="F52" s="6">
        <f t="shared" si="8"/>
        <v>0</v>
      </c>
      <c r="G52" s="2"/>
      <c r="H52" s="2">
        <f>SUM(OSRRefH22_8x_0)</f>
        <v>150</v>
      </c>
      <c r="I52" s="2"/>
      <c r="J52" s="6">
        <f t="shared" si="9"/>
        <v>0</v>
      </c>
      <c r="K52" s="2"/>
      <c r="L52" s="2">
        <f t="shared" si="10"/>
        <v>6.4799999999999898</v>
      </c>
      <c r="M52" s="2"/>
      <c r="N52" s="6">
        <f t="shared" si="11"/>
        <v>4.3199999999999933E-2</v>
      </c>
      <c r="O52" s="14"/>
      <c r="P52" s="2">
        <f>SUM(OSRRefP22_8x_0)</f>
        <v>1721.28</v>
      </c>
      <c r="Q52" s="2"/>
      <c r="R52" s="6">
        <f t="shared" si="12"/>
        <v>0</v>
      </c>
      <c r="S52" s="2"/>
      <c r="T52" s="2">
        <f>SUM(OSRRefT22_8x_0)</f>
        <v>1650</v>
      </c>
      <c r="U52" s="2"/>
      <c r="V52" s="6">
        <f t="shared" si="13"/>
        <v>0</v>
      </c>
      <c r="W52" s="2"/>
      <c r="X52" s="2">
        <f t="shared" si="14"/>
        <v>71.279999999999973</v>
      </c>
      <c r="Y52" s="2"/>
      <c r="Z52" s="6">
        <f t="shared" si="15"/>
        <v>4.3199999999999981E-2</v>
      </c>
    </row>
    <row r="53" spans="1:26" s="70" customFormat="1" ht="15" hidden="1" customHeight="1" outlineLevel="2" x14ac:dyDescent="0.25">
      <c r="A53" s="25"/>
      <c r="B53" s="12" t="str">
        <f>CONCATENATE("          ","6314"," - ","LIABILITY INSURANCE")</f>
        <v xml:space="preserve">          6314 - LIABILITY INSURANCE</v>
      </c>
      <c r="C53" s="12"/>
      <c r="D53" s="8">
        <v>156.47999999999999</v>
      </c>
      <c r="E53" s="3"/>
      <c r="F53" s="7">
        <f t="shared" si="8"/>
        <v>0</v>
      </c>
      <c r="G53" s="3"/>
      <c r="H53" s="8">
        <v>150</v>
      </c>
      <c r="I53" s="3"/>
      <c r="J53" s="7">
        <f t="shared" si="9"/>
        <v>0</v>
      </c>
      <c r="K53" s="3"/>
      <c r="L53" s="8">
        <f t="shared" si="10"/>
        <v>6.4799999999999898</v>
      </c>
      <c r="M53" s="3"/>
      <c r="N53" s="7">
        <f t="shared" si="11"/>
        <v>4.3199999999999933E-2</v>
      </c>
      <c r="O53" s="12"/>
      <c r="P53" s="8">
        <v>1721.28</v>
      </c>
      <c r="Q53" s="3"/>
      <c r="R53" s="7">
        <f t="shared" si="12"/>
        <v>0</v>
      </c>
      <c r="S53" s="3"/>
      <c r="T53" s="8">
        <v>1650</v>
      </c>
      <c r="U53" s="3"/>
      <c r="V53" s="7">
        <f t="shared" si="13"/>
        <v>0</v>
      </c>
      <c r="W53" s="3"/>
      <c r="X53" s="8">
        <f t="shared" si="14"/>
        <v>71.279999999999973</v>
      </c>
      <c r="Y53" s="3"/>
      <c r="Z53" s="7">
        <f t="shared" si="15"/>
        <v>4.3199999999999981E-2</v>
      </c>
    </row>
    <row r="54" spans="1:26" s="69" customFormat="1" ht="15" customHeight="1" outlineLevel="1" collapsed="1" x14ac:dyDescent="0.25">
      <c r="A54" s="26"/>
      <c r="B54" s="14" t="str">
        <f>CONCATENATE("     ","Professional Services                             ")</f>
        <v xml:space="preserve">     Professional Services                             </v>
      </c>
      <c r="C54" s="14"/>
      <c r="D54" s="2">
        <f>SUM(OSRRefD22_9x_0)</f>
        <v>0</v>
      </c>
      <c r="E54" s="2"/>
      <c r="F54" s="6">
        <f t="shared" si="8"/>
        <v>0</v>
      </c>
      <c r="G54" s="2"/>
      <c r="H54" s="2">
        <f>SUM(OSRRefH22_9x_0)</f>
        <v>1000</v>
      </c>
      <c r="I54" s="2"/>
      <c r="J54" s="6">
        <f t="shared" si="9"/>
        <v>0</v>
      </c>
      <c r="K54" s="2"/>
      <c r="L54" s="2">
        <f t="shared" si="10"/>
        <v>-1000</v>
      </c>
      <c r="M54" s="2"/>
      <c r="N54" s="6">
        <f t="shared" si="11"/>
        <v>-1</v>
      </c>
      <c r="O54" s="14"/>
      <c r="P54" s="2">
        <f>SUM(OSRRefP22_9x_0)</f>
        <v>56875</v>
      </c>
      <c r="Q54" s="2"/>
      <c r="R54" s="6">
        <f t="shared" si="12"/>
        <v>0</v>
      </c>
      <c r="S54" s="2"/>
      <c r="T54" s="2">
        <f>SUM(OSRRefT22_9x_0)</f>
        <v>60500</v>
      </c>
      <c r="U54" s="2"/>
      <c r="V54" s="6">
        <f t="shared" si="13"/>
        <v>0</v>
      </c>
      <c r="W54" s="2"/>
      <c r="X54" s="2">
        <f t="shared" si="14"/>
        <v>-3625</v>
      </c>
      <c r="Y54" s="2"/>
      <c r="Z54" s="6">
        <f t="shared" si="15"/>
        <v>-5.9917355371900828E-2</v>
      </c>
    </row>
    <row r="55" spans="1:26" s="70" customFormat="1" ht="15" hidden="1" customHeight="1" outlineLevel="2" x14ac:dyDescent="0.25">
      <c r="A55" s="25"/>
      <c r="B55" s="12" t="str">
        <f>CONCATENATE("          ","6331"," - ","INDIRECT COSTS-AUXILIARY ORGAN")</f>
        <v xml:space="preserve">          6331 - INDIRECT COSTS-AUXILIARY ORGAN</v>
      </c>
      <c r="C55" s="12"/>
      <c r="D55" s="8"/>
      <c r="E55" s="3"/>
      <c r="F55" s="7">
        <f t="shared" si="8"/>
        <v>0</v>
      </c>
      <c r="G55" s="3"/>
      <c r="H55" s="8"/>
      <c r="I55" s="3"/>
      <c r="J55" s="7">
        <f t="shared" si="9"/>
        <v>0</v>
      </c>
      <c r="K55" s="3"/>
      <c r="L55" s="8">
        <f t="shared" si="10"/>
        <v>0</v>
      </c>
      <c r="M55" s="3"/>
      <c r="N55" s="7">
        <f t="shared" si="11"/>
        <v>0</v>
      </c>
      <c r="O55" s="12"/>
      <c r="P55" s="8">
        <v>48350</v>
      </c>
      <c r="Q55" s="3"/>
      <c r="R55" s="7">
        <f t="shared" si="12"/>
        <v>0</v>
      </c>
      <c r="S55" s="3"/>
      <c r="T55" s="8">
        <v>51000</v>
      </c>
      <c r="U55" s="3"/>
      <c r="V55" s="7">
        <f t="shared" si="13"/>
        <v>0</v>
      </c>
      <c r="W55" s="3"/>
      <c r="X55" s="8">
        <f t="shared" si="14"/>
        <v>-2650</v>
      </c>
      <c r="Y55" s="3"/>
      <c r="Z55" s="7">
        <f t="shared" si="15"/>
        <v>-5.1960784313725493E-2</v>
      </c>
    </row>
    <row r="56" spans="1:26" s="70" customFormat="1" ht="15" hidden="1" customHeight="1" outlineLevel="2" x14ac:dyDescent="0.25">
      <c r="A56" s="25"/>
      <c r="B56" s="12" t="str">
        <f>CONCATENATE("          ","6334"," - ","LEGAL COUNCIL EXPENSE")</f>
        <v xml:space="preserve">          6334 - LEGAL COUNCIL EXPENSE</v>
      </c>
      <c r="C56" s="12"/>
      <c r="D56" s="8"/>
      <c r="E56" s="3"/>
      <c r="F56" s="7">
        <f t="shared" si="8"/>
        <v>0</v>
      </c>
      <c r="G56" s="3"/>
      <c r="H56" s="8">
        <v>1000</v>
      </c>
      <c r="I56" s="3"/>
      <c r="J56" s="7">
        <f t="shared" si="9"/>
        <v>0</v>
      </c>
      <c r="K56" s="3"/>
      <c r="L56" s="8">
        <f t="shared" si="10"/>
        <v>-1000</v>
      </c>
      <c r="M56" s="3"/>
      <c r="N56" s="7">
        <f t="shared" si="11"/>
        <v>-1</v>
      </c>
      <c r="O56" s="12"/>
      <c r="P56" s="8">
        <v>200</v>
      </c>
      <c r="Q56" s="3"/>
      <c r="R56" s="7">
        <f t="shared" si="12"/>
        <v>0</v>
      </c>
      <c r="S56" s="3"/>
      <c r="T56" s="8">
        <v>4500</v>
      </c>
      <c r="U56" s="3"/>
      <c r="V56" s="7">
        <f t="shared" si="13"/>
        <v>0</v>
      </c>
      <c r="W56" s="3"/>
      <c r="X56" s="8">
        <f t="shared" si="14"/>
        <v>-4300</v>
      </c>
      <c r="Y56" s="3"/>
      <c r="Z56" s="7">
        <f t="shared" si="15"/>
        <v>-0.9555555555555556</v>
      </c>
    </row>
    <row r="57" spans="1:26" s="70" customFormat="1" ht="15" hidden="1" customHeight="1" outlineLevel="2" x14ac:dyDescent="0.25">
      <c r="A57" s="25"/>
      <c r="B57" s="12" t="str">
        <f>CONCATENATE("          ","6336"," - ","PROFESSIONAL SERVICES")</f>
        <v xml:space="preserve">          6336 - PROFESSIONAL SERVICES</v>
      </c>
      <c r="C57" s="12"/>
      <c r="D57" s="8"/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0</v>
      </c>
      <c r="M57" s="3"/>
      <c r="N57" s="7">
        <f t="shared" si="11"/>
        <v>0</v>
      </c>
      <c r="O57" s="12"/>
      <c r="P57" s="8">
        <v>8325</v>
      </c>
      <c r="Q57" s="3"/>
      <c r="R57" s="7">
        <f t="shared" si="12"/>
        <v>0</v>
      </c>
      <c r="S57" s="3"/>
      <c r="T57" s="8">
        <v>5000</v>
      </c>
      <c r="U57" s="3"/>
      <c r="V57" s="7">
        <f t="shared" si="13"/>
        <v>0</v>
      </c>
      <c r="W57" s="3"/>
      <c r="X57" s="8">
        <f t="shared" si="14"/>
        <v>3325</v>
      </c>
      <c r="Y57" s="3"/>
      <c r="Z57" s="7">
        <f t="shared" si="15"/>
        <v>0.66500000000000004</v>
      </c>
    </row>
    <row r="58" spans="1:26" s="69" customFormat="1" ht="15" customHeight="1" outlineLevel="1" collapsed="1" x14ac:dyDescent="0.25">
      <c r="A58" s="26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SUM(OSRRefD22_10x_0)</f>
        <v>3024.05</v>
      </c>
      <c r="E58" s="2"/>
      <c r="F58" s="6">
        <f t="shared" si="8"/>
        <v>0</v>
      </c>
      <c r="G58" s="2"/>
      <c r="H58" s="2">
        <f>SUM(OSRRefH22_10x_0)</f>
        <v>1530</v>
      </c>
      <c r="I58" s="2"/>
      <c r="J58" s="6">
        <f t="shared" si="9"/>
        <v>0</v>
      </c>
      <c r="K58" s="2"/>
      <c r="L58" s="2">
        <f t="shared" si="10"/>
        <v>1494.0500000000002</v>
      </c>
      <c r="M58" s="2"/>
      <c r="N58" s="6">
        <f t="shared" si="11"/>
        <v>0.97650326797385634</v>
      </c>
      <c r="O58" s="14"/>
      <c r="P58" s="2">
        <f>SUM(OSRRefP22_10x_0)</f>
        <v>31192.980000000003</v>
      </c>
      <c r="Q58" s="2"/>
      <c r="R58" s="6">
        <f t="shared" si="12"/>
        <v>0</v>
      </c>
      <c r="S58" s="2"/>
      <c r="T58" s="2">
        <f>SUM(OSRRefT22_10x_0)</f>
        <v>16830</v>
      </c>
      <c r="U58" s="2"/>
      <c r="V58" s="6">
        <f t="shared" si="13"/>
        <v>0</v>
      </c>
      <c r="W58" s="2"/>
      <c r="X58" s="2">
        <f t="shared" si="14"/>
        <v>14362.980000000003</v>
      </c>
      <c r="Y58" s="2"/>
      <c r="Z58" s="6">
        <f t="shared" si="15"/>
        <v>0.85341532976827117</v>
      </c>
    </row>
    <row r="59" spans="1:26" s="70" customFormat="1" ht="15" hidden="1" customHeight="1" outlineLevel="2" x14ac:dyDescent="0.25">
      <c r="A59" s="25"/>
      <c r="B59" s="12" t="str">
        <f>CONCATENATE("          ","6373"," - ","MAINTENANCE CONTRACTS")</f>
        <v xml:space="preserve">          6373 - MAINTENANCE CONTRACTS</v>
      </c>
      <c r="C59" s="12"/>
      <c r="D59" s="8">
        <v>3024.05</v>
      </c>
      <c r="E59" s="3"/>
      <c r="F59" s="7">
        <f t="shared" si="8"/>
        <v>0</v>
      </c>
      <c r="G59" s="3"/>
      <c r="H59" s="8">
        <v>1530</v>
      </c>
      <c r="I59" s="3"/>
      <c r="J59" s="7">
        <f t="shared" si="9"/>
        <v>0</v>
      </c>
      <c r="K59" s="3"/>
      <c r="L59" s="8">
        <f t="shared" si="10"/>
        <v>1494.0500000000002</v>
      </c>
      <c r="M59" s="3"/>
      <c r="N59" s="7">
        <f t="shared" si="11"/>
        <v>0.97650326797385634</v>
      </c>
      <c r="O59" s="12"/>
      <c r="P59" s="8">
        <v>31094.99</v>
      </c>
      <c r="Q59" s="3"/>
      <c r="R59" s="7">
        <f t="shared" si="12"/>
        <v>0</v>
      </c>
      <c r="S59" s="3"/>
      <c r="T59" s="8">
        <v>16830</v>
      </c>
      <c r="U59" s="3"/>
      <c r="V59" s="7">
        <f t="shared" si="13"/>
        <v>0</v>
      </c>
      <c r="W59" s="3"/>
      <c r="X59" s="8">
        <f t="shared" si="14"/>
        <v>14264.990000000002</v>
      </c>
      <c r="Y59" s="3"/>
      <c r="Z59" s="7">
        <f t="shared" si="15"/>
        <v>0.84759298871063582</v>
      </c>
    </row>
    <row r="60" spans="1:26" s="70" customFormat="1" ht="15" hidden="1" customHeight="1" outlineLevel="2" x14ac:dyDescent="0.25">
      <c r="A60" s="25"/>
      <c r="B60" s="12" t="str">
        <f>CONCATENATE("          ","6375"," - ","OUTSIDE REPAIRS &amp; MAINTENANCE")</f>
        <v xml:space="preserve">          6375 - OUTSIDE REPAIRS &amp; MAINTENANCE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97.99</v>
      </c>
      <c r="Q60" s="3"/>
      <c r="R60" s="7">
        <f t="shared" si="12"/>
        <v>0</v>
      </c>
      <c r="S60" s="3"/>
      <c r="T60" s="8"/>
      <c r="U60" s="3"/>
      <c r="V60" s="7">
        <f t="shared" si="13"/>
        <v>0</v>
      </c>
      <c r="W60" s="3"/>
      <c r="X60" s="8">
        <f t="shared" si="14"/>
        <v>97.99</v>
      </c>
      <c r="Y60" s="3"/>
      <c r="Z60" s="7">
        <f t="shared" si="15"/>
        <v>0</v>
      </c>
    </row>
    <row r="61" spans="1:26" s="69" customFormat="1" ht="15" customHeight="1" outlineLevel="1" collapsed="1" x14ac:dyDescent="0.25">
      <c r="A61" s="26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SUM(OSRRefD22_11x_0)</f>
        <v>0</v>
      </c>
      <c r="E61" s="2"/>
      <c r="F61" s="6">
        <f t="shared" si="8"/>
        <v>0</v>
      </c>
      <c r="G61" s="2"/>
      <c r="H61" s="2">
        <f>SUM(OSRRefH22_11x_0)</f>
        <v>1550</v>
      </c>
      <c r="I61" s="2"/>
      <c r="J61" s="6">
        <f t="shared" si="9"/>
        <v>0</v>
      </c>
      <c r="K61" s="2"/>
      <c r="L61" s="2">
        <f t="shared" si="10"/>
        <v>-1550</v>
      </c>
      <c r="M61" s="2"/>
      <c r="N61" s="6">
        <f t="shared" si="11"/>
        <v>-1</v>
      </c>
      <c r="O61" s="14"/>
      <c r="P61" s="2">
        <f>SUM(OSRRefP22_11x_0)</f>
        <v>5622</v>
      </c>
      <c r="Q61" s="2"/>
      <c r="R61" s="6">
        <f t="shared" si="12"/>
        <v>0</v>
      </c>
      <c r="S61" s="2"/>
      <c r="T61" s="2">
        <f>SUM(OSRRefT22_11x_0)</f>
        <v>8193</v>
      </c>
      <c r="U61" s="2"/>
      <c r="V61" s="6">
        <f t="shared" si="13"/>
        <v>0</v>
      </c>
      <c r="W61" s="2"/>
      <c r="X61" s="2">
        <f t="shared" si="14"/>
        <v>-2571</v>
      </c>
      <c r="Y61" s="2"/>
      <c r="Z61" s="6">
        <f t="shared" si="15"/>
        <v>-0.31380446722812155</v>
      </c>
    </row>
    <row r="62" spans="1:26" s="70" customFormat="1" ht="15" hidden="1" customHeight="1" outlineLevel="2" x14ac:dyDescent="0.25">
      <c r="A62" s="25"/>
      <c r="B62" s="12" t="str">
        <f>CONCATENATE("          ","6258"," - ","MEMBERSHIP DUES")</f>
        <v xml:space="preserve">          6258 - MEMBERSHIP DUES</v>
      </c>
      <c r="C62" s="12"/>
      <c r="D62" s="8"/>
      <c r="E62" s="3"/>
      <c r="F62" s="7">
        <f t="shared" si="8"/>
        <v>0</v>
      </c>
      <c r="G62" s="3"/>
      <c r="H62" s="8">
        <v>1550</v>
      </c>
      <c r="I62" s="3"/>
      <c r="J62" s="7">
        <f t="shared" si="9"/>
        <v>0</v>
      </c>
      <c r="K62" s="3"/>
      <c r="L62" s="8">
        <f t="shared" si="10"/>
        <v>-1550</v>
      </c>
      <c r="M62" s="3"/>
      <c r="N62" s="7">
        <f t="shared" si="11"/>
        <v>-1</v>
      </c>
      <c r="O62" s="12"/>
      <c r="P62" s="8">
        <v>5622</v>
      </c>
      <c r="Q62" s="3"/>
      <c r="R62" s="7">
        <f t="shared" si="12"/>
        <v>0</v>
      </c>
      <c r="S62" s="3"/>
      <c r="T62" s="8">
        <v>8193</v>
      </c>
      <c r="U62" s="3"/>
      <c r="V62" s="7">
        <f t="shared" si="13"/>
        <v>0</v>
      </c>
      <c r="W62" s="3"/>
      <c r="X62" s="8">
        <f t="shared" si="14"/>
        <v>-2571</v>
      </c>
      <c r="Y62" s="3"/>
      <c r="Z62" s="7">
        <f t="shared" si="15"/>
        <v>-0.31380446722812155</v>
      </c>
    </row>
    <row r="63" spans="1:26" s="69" customFormat="1" ht="15" customHeight="1" outlineLevel="1" collapsed="1" x14ac:dyDescent="0.25">
      <c r="A63" s="26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SUM(OSRRefD22_12x_0)</f>
        <v>0</v>
      </c>
      <c r="E63" s="2"/>
      <c r="F63" s="6">
        <f t="shared" si="8"/>
        <v>0</v>
      </c>
      <c r="G63" s="2"/>
      <c r="H63" s="2">
        <f>SUM(OSRRefH22_12x_0)</f>
        <v>125</v>
      </c>
      <c r="I63" s="2"/>
      <c r="J63" s="6">
        <f t="shared" si="9"/>
        <v>0</v>
      </c>
      <c r="K63" s="2"/>
      <c r="L63" s="2">
        <f t="shared" si="10"/>
        <v>-125</v>
      </c>
      <c r="M63" s="2"/>
      <c r="N63" s="6">
        <f t="shared" si="11"/>
        <v>-1</v>
      </c>
      <c r="O63" s="14"/>
      <c r="P63" s="2">
        <f>SUM(OSRRefP22_12x_0)</f>
        <v>409.15</v>
      </c>
      <c r="Q63" s="2"/>
      <c r="R63" s="6">
        <f t="shared" si="12"/>
        <v>0</v>
      </c>
      <c r="S63" s="2"/>
      <c r="T63" s="2">
        <f>SUM(OSRRefT22_12x_0)</f>
        <v>1375</v>
      </c>
      <c r="U63" s="2"/>
      <c r="V63" s="6">
        <f t="shared" si="13"/>
        <v>0</v>
      </c>
      <c r="W63" s="2"/>
      <c r="X63" s="2">
        <f t="shared" si="14"/>
        <v>-965.85</v>
      </c>
      <c r="Y63" s="2"/>
      <c r="Z63" s="6">
        <f t="shared" si="15"/>
        <v>-0.70243636363636364</v>
      </c>
    </row>
    <row r="64" spans="1:26" s="70" customFormat="1" ht="15" hidden="1" customHeight="1" outlineLevel="2" x14ac:dyDescent="0.25">
      <c r="A64" s="25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>
        <v>125</v>
      </c>
      <c r="I64" s="3"/>
      <c r="J64" s="7">
        <f t="shared" si="9"/>
        <v>0</v>
      </c>
      <c r="K64" s="3"/>
      <c r="L64" s="8">
        <f t="shared" si="10"/>
        <v>-125</v>
      </c>
      <c r="M64" s="3"/>
      <c r="N64" s="7">
        <f t="shared" si="11"/>
        <v>-1</v>
      </c>
      <c r="O64" s="12"/>
      <c r="P64" s="8"/>
      <c r="Q64" s="3"/>
      <c r="R64" s="7">
        <f t="shared" si="12"/>
        <v>0</v>
      </c>
      <c r="S64" s="3"/>
      <c r="T64" s="8">
        <v>1375</v>
      </c>
      <c r="U64" s="3"/>
      <c r="V64" s="7">
        <f t="shared" si="13"/>
        <v>0</v>
      </c>
      <c r="W64" s="3"/>
      <c r="X64" s="8">
        <f t="shared" si="14"/>
        <v>-1375</v>
      </c>
      <c r="Y64" s="3"/>
      <c r="Z64" s="7">
        <f t="shared" si="15"/>
        <v>-1</v>
      </c>
    </row>
    <row r="65" spans="1:26" s="70" customFormat="1" ht="15" hidden="1" customHeight="1" outlineLevel="2" x14ac:dyDescent="0.25">
      <c r="A65" s="25"/>
      <c r="B65" s="12" t="str">
        <f>CONCATENATE("          ","6241"," - ","OFFICE EXPENSE")</f>
        <v xml:space="preserve">          6241 - OFFICE EXPENSE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409.15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409.15</v>
      </c>
      <c r="Y65" s="3"/>
      <c r="Z65" s="7">
        <f t="shared" si="15"/>
        <v>0</v>
      </c>
    </row>
    <row r="66" spans="1:26" s="69" customFormat="1" ht="15" customHeight="1" outlineLevel="1" collapsed="1" x14ac:dyDescent="0.25">
      <c r="A66" s="26"/>
      <c r="B66" s="14" t="str">
        <f>CONCATENATE("     ","Telephone/Data Lines                              ")</f>
        <v xml:space="preserve">     Telephone/Data Lines                              </v>
      </c>
      <c r="C66" s="14"/>
      <c r="D66" s="2">
        <f>SUM(OSRRefD22_13x_0)</f>
        <v>381.13</v>
      </c>
      <c r="E66" s="2"/>
      <c r="F66" s="6">
        <f t="shared" si="8"/>
        <v>0</v>
      </c>
      <c r="G66" s="2"/>
      <c r="H66" s="2">
        <f>SUM(OSRRefH22_13x_0)</f>
        <v>425</v>
      </c>
      <c r="I66" s="2"/>
      <c r="J66" s="6">
        <f t="shared" si="9"/>
        <v>0</v>
      </c>
      <c r="K66" s="2"/>
      <c r="L66" s="2">
        <f t="shared" si="10"/>
        <v>-43.870000000000005</v>
      </c>
      <c r="M66" s="2"/>
      <c r="N66" s="6">
        <f t="shared" si="11"/>
        <v>-0.10322352941176471</v>
      </c>
      <c r="O66" s="14"/>
      <c r="P66" s="2">
        <f>SUM(OSRRefP22_13x_0)</f>
        <v>4799.04</v>
      </c>
      <c r="Q66" s="2"/>
      <c r="R66" s="6">
        <f t="shared" si="12"/>
        <v>0</v>
      </c>
      <c r="S66" s="2"/>
      <c r="T66" s="2">
        <f>SUM(OSRRefT22_13x_0)</f>
        <v>4675</v>
      </c>
      <c r="U66" s="2"/>
      <c r="V66" s="6">
        <f t="shared" si="13"/>
        <v>0</v>
      </c>
      <c r="W66" s="2"/>
      <c r="X66" s="2">
        <f t="shared" si="14"/>
        <v>124.03999999999996</v>
      </c>
      <c r="Y66" s="2"/>
      <c r="Z66" s="6">
        <f t="shared" si="15"/>
        <v>2.6532620320855606E-2</v>
      </c>
    </row>
    <row r="67" spans="1:26" s="70" customFormat="1" ht="15" hidden="1" customHeight="1" outlineLevel="2" x14ac:dyDescent="0.25">
      <c r="A67" s="25"/>
      <c r="B67" s="12" t="str">
        <f>CONCATENATE("          ","6309"," - ","TELEPHONE")</f>
        <v xml:space="preserve">          6309 - TELEPHONE</v>
      </c>
      <c r="C67" s="12"/>
      <c r="D67" s="8">
        <v>381.13</v>
      </c>
      <c r="E67" s="3"/>
      <c r="F67" s="7">
        <f t="shared" si="8"/>
        <v>0</v>
      </c>
      <c r="G67" s="3"/>
      <c r="H67" s="8">
        <v>425</v>
      </c>
      <c r="I67" s="3"/>
      <c r="J67" s="7">
        <f t="shared" si="9"/>
        <v>0</v>
      </c>
      <c r="K67" s="3"/>
      <c r="L67" s="8">
        <f t="shared" si="10"/>
        <v>-43.870000000000005</v>
      </c>
      <c r="M67" s="3"/>
      <c r="N67" s="7">
        <f t="shared" si="11"/>
        <v>-0.10322352941176471</v>
      </c>
      <c r="O67" s="12"/>
      <c r="P67" s="8">
        <v>4799.04</v>
      </c>
      <c r="Q67" s="3"/>
      <c r="R67" s="7">
        <f t="shared" si="12"/>
        <v>0</v>
      </c>
      <c r="S67" s="3"/>
      <c r="T67" s="8">
        <v>4675</v>
      </c>
      <c r="U67" s="3"/>
      <c r="V67" s="7">
        <f t="shared" si="13"/>
        <v>0</v>
      </c>
      <c r="W67" s="3"/>
      <c r="X67" s="8">
        <f t="shared" si="14"/>
        <v>124.03999999999996</v>
      </c>
      <c r="Y67" s="3"/>
      <c r="Z67" s="7">
        <f t="shared" si="15"/>
        <v>2.6532620320855606E-2</v>
      </c>
    </row>
    <row r="68" spans="1:26" s="69" customFormat="1" ht="15" customHeight="1" outlineLevel="1" collapsed="1" x14ac:dyDescent="0.25">
      <c r="A68" s="26"/>
      <c r="B68" s="14" t="str">
        <f>CONCATENATE("     ","Training                                          ")</f>
        <v xml:space="preserve">     Training                                          </v>
      </c>
      <c r="C68" s="14"/>
      <c r="D68" s="2">
        <f>SUM(OSRRefD22_14x_0)</f>
        <v>0</v>
      </c>
      <c r="E68" s="2"/>
      <c r="F68" s="6">
        <f t="shared" si="8"/>
        <v>0</v>
      </c>
      <c r="G68" s="2"/>
      <c r="H68" s="2">
        <f>SUM(OSRRefH22_14x_0)</f>
        <v>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0</v>
      </c>
      <c r="Q68" s="2"/>
      <c r="R68" s="6">
        <f t="shared" si="12"/>
        <v>0</v>
      </c>
      <c r="S68" s="2"/>
      <c r="T68" s="2">
        <f>SUM(OSRRefT22_14x_0)</f>
        <v>4050</v>
      </c>
      <c r="U68" s="2"/>
      <c r="V68" s="6">
        <f t="shared" si="13"/>
        <v>0</v>
      </c>
      <c r="W68" s="2"/>
      <c r="X68" s="2">
        <f t="shared" si="14"/>
        <v>-4050</v>
      </c>
      <c r="Y68" s="2"/>
      <c r="Z68" s="6">
        <f t="shared" si="15"/>
        <v>-1</v>
      </c>
    </row>
    <row r="69" spans="1:26" s="70" customFormat="1" ht="15" hidden="1" customHeight="1" outlineLevel="2" x14ac:dyDescent="0.25">
      <c r="A69" s="25"/>
      <c r="B69" s="12" t="str">
        <f>CONCATENATE("          ","6376"," - ","TRAINING")</f>
        <v xml:space="preserve">          6376 - TRAINING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0</v>
      </c>
      <c r="Q69" s="3"/>
      <c r="R69" s="7">
        <f t="shared" si="12"/>
        <v>0</v>
      </c>
      <c r="S69" s="3"/>
      <c r="T69" s="8">
        <v>4050</v>
      </c>
      <c r="U69" s="3"/>
      <c r="V69" s="7">
        <f t="shared" si="13"/>
        <v>0</v>
      </c>
      <c r="W69" s="3"/>
      <c r="X69" s="8">
        <f t="shared" si="14"/>
        <v>-4050</v>
      </c>
      <c r="Y69" s="3"/>
      <c r="Z69" s="7">
        <f t="shared" si="15"/>
        <v>-1</v>
      </c>
    </row>
    <row r="70" spans="1:26" s="69" customFormat="1" ht="15" customHeight="1" outlineLevel="1" collapsed="1" x14ac:dyDescent="0.25">
      <c r="A70" s="26"/>
      <c r="B70" s="14" t="str">
        <f>CONCATENATE("     ","Travel                                            ")</f>
        <v xml:space="preserve">     Travel                                            </v>
      </c>
      <c r="C70" s="14"/>
      <c r="D70" s="2">
        <f>SUM(OSRRefD22_15x_0)</f>
        <v>0</v>
      </c>
      <c r="E70" s="2"/>
      <c r="F70" s="6">
        <f t="shared" si="8"/>
        <v>0</v>
      </c>
      <c r="G70" s="2"/>
      <c r="H70" s="2">
        <f>SUM(OSRRefH22_15x_0)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SUM(OSRRefP22_15x_0)</f>
        <v>0</v>
      </c>
      <c r="Q70" s="2"/>
      <c r="R70" s="6">
        <f t="shared" si="12"/>
        <v>0</v>
      </c>
      <c r="S70" s="2"/>
      <c r="T70" s="2">
        <f>SUM(OSRRefT22_15x_0)</f>
        <v>1500</v>
      </c>
      <c r="U70" s="2"/>
      <c r="V70" s="6">
        <f t="shared" si="13"/>
        <v>0</v>
      </c>
      <c r="W70" s="2"/>
      <c r="X70" s="2">
        <f t="shared" si="14"/>
        <v>-1500</v>
      </c>
      <c r="Y70" s="2"/>
      <c r="Z70" s="6">
        <f t="shared" si="15"/>
        <v>-1</v>
      </c>
    </row>
    <row r="71" spans="1:26" s="70" customFormat="1" ht="15" hidden="1" customHeight="1" outlineLevel="2" x14ac:dyDescent="0.25">
      <c r="A71" s="25"/>
      <c r="B71" s="12" t="str">
        <f>CONCATENATE("          ","6294"," - ","TRAVEL OPERATIONAL")</f>
        <v xml:space="preserve">          6294 - TRAVEL OPERATIONAL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/>
      <c r="Q71" s="3"/>
      <c r="R71" s="7">
        <f t="shared" si="12"/>
        <v>0</v>
      </c>
      <c r="S71" s="3"/>
      <c r="T71" s="8">
        <v>1500</v>
      </c>
      <c r="U71" s="3"/>
      <c r="V71" s="7">
        <f t="shared" si="13"/>
        <v>0</v>
      </c>
      <c r="W71" s="3"/>
      <c r="X71" s="8">
        <f t="shared" si="14"/>
        <v>-1500</v>
      </c>
      <c r="Y71" s="3"/>
      <c r="Z71" s="7">
        <f t="shared" si="15"/>
        <v>-1</v>
      </c>
    </row>
    <row r="72" spans="1:26" s="65" customFormat="1" ht="15" customHeight="1" x14ac:dyDescent="0.25">
      <c r="A72" s="35"/>
      <c r="B72" s="35"/>
      <c r="C72" s="35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35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63" customFormat="1" ht="15" customHeight="1" x14ac:dyDescent="0.25">
      <c r="A73" s="11"/>
      <c r="B73" s="27" t="s">
        <v>291</v>
      </c>
      <c r="C73" s="11"/>
      <c r="D73" s="5">
        <f>SUM(0)</f>
        <v>0</v>
      </c>
      <c r="E73" s="5"/>
      <c r="F73" s="13">
        <f>IF(D$12=0,0,D73/D$12)</f>
        <v>0</v>
      </c>
      <c r="G73" s="5"/>
      <c r="H73" s="5">
        <f>SUM(0)</f>
        <v>0</v>
      </c>
      <c r="I73" s="5"/>
      <c r="J73" s="13">
        <f>IF(H$12=0,0,H73/H$12)</f>
        <v>0</v>
      </c>
      <c r="K73" s="5"/>
      <c r="L73" s="5">
        <f>+D73-H73</f>
        <v>0</v>
      </c>
      <c r="M73" s="5"/>
      <c r="N73" s="13">
        <f>IF(H73=0,0,L73/H73)</f>
        <v>0</v>
      </c>
      <c r="O73" s="11"/>
      <c r="P73" s="5">
        <f>SUM(0)</f>
        <v>0</v>
      </c>
      <c r="Q73" s="5"/>
      <c r="R73" s="13">
        <f>IF(P$12=0,0,P73/P$12)</f>
        <v>0</v>
      </c>
      <c r="S73" s="5"/>
      <c r="T73" s="5">
        <f>SUM(0)</f>
        <v>0</v>
      </c>
      <c r="U73" s="5"/>
      <c r="V73" s="13">
        <f>IF(T$12=0,0,T73/T$12)</f>
        <v>0</v>
      </c>
      <c r="W73" s="5"/>
      <c r="X73" s="5">
        <f>+P73-T73</f>
        <v>0</v>
      </c>
      <c r="Y73" s="5"/>
      <c r="Z73" s="13">
        <f>IF(T73=0,0,X73/T73)</f>
        <v>0</v>
      </c>
    </row>
    <row r="74" spans="1:26" ht="15" customHeight="1" x14ac:dyDescent="0.25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25">
      <c r="A75" s="11"/>
      <c r="B75" s="28" t="s">
        <v>292</v>
      </c>
      <c r="C75" s="28"/>
      <c r="D75" s="22">
        <f>+D16-D18+D73</f>
        <v>-36125.549999999996</v>
      </c>
      <c r="E75" s="15"/>
      <c r="F75" s="21">
        <f>IF(D$12=0,0,D75/D$12)</f>
        <v>0</v>
      </c>
      <c r="G75" s="15"/>
      <c r="H75" s="22">
        <f>+H16-H18+H73</f>
        <v>-31517.382430769179</v>
      </c>
      <c r="I75" s="15"/>
      <c r="J75" s="21">
        <f>IF(H$12=0,0,H75/H$12)</f>
        <v>0</v>
      </c>
      <c r="K75" s="16"/>
      <c r="L75" s="22">
        <f>+D75-H75</f>
        <v>-4608.1675692308163</v>
      </c>
      <c r="M75" s="16"/>
      <c r="N75" s="21">
        <f>IF(H75=0,0,L75/H75)</f>
        <v>0.14621035167984139</v>
      </c>
      <c r="O75" s="27"/>
      <c r="P75" s="22">
        <f>+P16-P18+P73</f>
        <v>-523849.50999999995</v>
      </c>
      <c r="Q75" s="15"/>
      <c r="R75" s="21">
        <f>IF(P$12=0,0,P75/P$12)</f>
        <v>0</v>
      </c>
      <c r="S75" s="15"/>
      <c r="T75" s="22">
        <f>+T16-T18+T73</f>
        <v>-512754.16195769218</v>
      </c>
      <c r="U75" s="15"/>
      <c r="V75" s="21">
        <f>IF(T$12=0,0,T75/T$12)</f>
        <v>0</v>
      </c>
      <c r="W75" s="16"/>
      <c r="X75" s="22">
        <f>+P75-T75</f>
        <v>-11095.348042307771</v>
      </c>
      <c r="Y75" s="16"/>
      <c r="Z75" s="21">
        <f>IF(T75=0,0,X75/T75)</f>
        <v>2.1638728391683456E-2</v>
      </c>
    </row>
    <row r="76" spans="1:26" ht="15" customHeight="1" x14ac:dyDescent="0.25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25">
      <c r="A77" s="49"/>
      <c r="B77" s="11" t="s">
        <v>293</v>
      </c>
      <c r="C77" s="11"/>
      <c r="D77" s="5"/>
      <c r="E77" s="5"/>
      <c r="F77" s="13">
        <f>IF(D$12=0,0,D77/D$12)</f>
        <v>0</v>
      </c>
      <c r="G77" s="5"/>
      <c r="H77" s="5"/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/>
      <c r="Q77" s="5"/>
      <c r="R77" s="13">
        <f>IF(P$12=0,0,P77/P$12)</f>
        <v>0</v>
      </c>
      <c r="S77" s="5"/>
      <c r="T77" s="5"/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25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25">
      <c r="A79" s="11"/>
      <c r="B79" s="28" t="s">
        <v>294</v>
      </c>
      <c r="C79" s="28"/>
      <c r="D79" s="34">
        <f>+D75-D77</f>
        <v>-36125.549999999996</v>
      </c>
      <c r="E79" s="15"/>
      <c r="F79" s="32">
        <f>IF(D$12=0,0,D79/D$12)</f>
        <v>0</v>
      </c>
      <c r="G79" s="15"/>
      <c r="H79" s="34">
        <f>+H75-H77</f>
        <v>-31517.382430769179</v>
      </c>
      <c r="I79" s="15"/>
      <c r="J79" s="32">
        <f>IF(H$12=0,0,H79/H$12)</f>
        <v>0</v>
      </c>
      <c r="K79" s="16"/>
      <c r="L79" s="34">
        <f>D79-H79</f>
        <v>-4608.1675692308163</v>
      </c>
      <c r="M79" s="16"/>
      <c r="N79" s="32">
        <f>IF(H79=0,0,L79/H79)</f>
        <v>0.14621035167984139</v>
      </c>
      <c r="O79" s="27"/>
      <c r="P79" s="34">
        <f>+P75-P77</f>
        <v>-523849.50999999995</v>
      </c>
      <c r="Q79" s="15"/>
      <c r="R79" s="32">
        <f>IF(P$12=0,0,P79/P$12)</f>
        <v>0</v>
      </c>
      <c r="S79" s="15"/>
      <c r="T79" s="34">
        <f>+T75-T77</f>
        <v>-512754.16195769218</v>
      </c>
      <c r="U79" s="15"/>
      <c r="V79" s="32">
        <f>IF(T$12=0,0,T79/T$12)</f>
        <v>0</v>
      </c>
      <c r="W79" s="16"/>
      <c r="X79" s="34">
        <f>P79-T79</f>
        <v>-11095.348042307771</v>
      </c>
      <c r="Y79" s="16"/>
      <c r="Z79" s="32">
        <f>IF(T79=0,0,X79/T79)</f>
        <v>2.1638728391683456E-2</v>
      </c>
    </row>
    <row r="80" spans="1:26" ht="15" customHeight="1" x14ac:dyDescent="0.25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25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25">
      <c r="A82" s="11"/>
      <c r="B82" s="28" t="s">
        <v>297</v>
      </c>
      <c r="C82" s="28"/>
      <c r="D82" s="30">
        <f>SUM(D79:D81)</f>
        <v>-36125.549999999996</v>
      </c>
      <c r="E82" s="15"/>
      <c r="F82" s="33">
        <f>IF(D$12=0,0,D82/D$12)</f>
        <v>0</v>
      </c>
      <c r="G82" s="15"/>
      <c r="H82" s="30">
        <f>SUM(H79:H81)</f>
        <v>-31517.382430769179</v>
      </c>
      <c r="I82" s="15"/>
      <c r="J82" s="33">
        <f>IF(H$12=0,0,H82/H$12)</f>
        <v>0</v>
      </c>
      <c r="K82" s="16"/>
      <c r="L82" s="30">
        <f>+D82-H82</f>
        <v>-4608.1675692308163</v>
      </c>
      <c r="M82" s="16"/>
      <c r="N82" s="33">
        <f>IF(H82=0,0,L82/H82)</f>
        <v>0.14621035167984139</v>
      </c>
      <c r="O82" s="27"/>
      <c r="P82" s="30">
        <f>SUM(P79:P81)</f>
        <v>-523849.50999999995</v>
      </c>
      <c r="Q82" s="15"/>
      <c r="R82" s="33">
        <f>IF(P$12=0,0,P82/P$12)</f>
        <v>0</v>
      </c>
      <c r="S82" s="15"/>
      <c r="T82" s="30">
        <f>SUM(T79:T81)</f>
        <v>-512754.16195769218</v>
      </c>
      <c r="U82" s="15"/>
      <c r="V82" s="33">
        <f>IF(T$12=0,0,T82/T$12)</f>
        <v>0</v>
      </c>
      <c r="W82" s="16"/>
      <c r="X82" s="30">
        <f>+P82-T82</f>
        <v>-11095.348042307771</v>
      </c>
      <c r="Y82" s="16"/>
      <c r="Z82" s="33">
        <f>IF(T82=0,0,X82/T82)</f>
        <v>2.1638728391683456E-2</v>
      </c>
    </row>
    <row r="83" spans="1:26" ht="15" customHeight="1" x14ac:dyDescent="0.25">
      <c r="A83" s="10"/>
      <c r="C83" s="10"/>
      <c r="D83" s="18"/>
      <c r="E83" s="18"/>
      <c r="G83" s="18"/>
      <c r="H83" s="18"/>
      <c r="I83" s="18"/>
      <c r="J83" s="40"/>
      <c r="K83" s="18"/>
      <c r="L83" s="18"/>
      <c r="M83" s="18"/>
      <c r="P83" s="18"/>
      <c r="Q83" s="18"/>
      <c r="R83" s="40"/>
      <c r="S83" s="18"/>
      <c r="T83" s="18"/>
      <c r="U83" s="18"/>
      <c r="V83" s="40"/>
      <c r="W83" s="18"/>
      <c r="X83" s="18"/>
    </row>
    <row r="84" spans="1:26" ht="15" customHeight="1" x14ac:dyDescent="0.25">
      <c r="A84" s="10"/>
      <c r="B84" s="54">
        <v>44727.874527581022</v>
      </c>
      <c r="D84" s="18"/>
      <c r="E84" s="18"/>
      <c r="G84" s="18"/>
      <c r="H84" s="18"/>
      <c r="I84" s="18"/>
      <c r="J84" s="40"/>
      <c r="K84" s="18"/>
      <c r="L84" s="18"/>
      <c r="M84" s="18"/>
      <c r="P84" s="18"/>
      <c r="Q84" s="18"/>
      <c r="R84" s="40"/>
      <c r="S84" s="18"/>
      <c r="T84" s="18"/>
      <c r="U84" s="18"/>
      <c r="V84" s="40"/>
      <c r="W84" s="18"/>
      <c r="X84" s="18"/>
    </row>
    <row r="85" spans="1:26" ht="15" customHeight="1" x14ac:dyDescent="0.25">
      <c r="A85" s="10"/>
      <c r="B85" s="50" t="s">
        <v>298</v>
      </c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25">
      <c r="A86" s="10"/>
      <c r="B86" s="58"/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AFEC6-FA0B-3A3D-B54D-9D33E3B7E43A}">
  <sheetPr>
    <tabColor rgb="FF92D050"/>
    <outlinePr summaryBelow="0" summaryRight="0"/>
  </sheetPr>
  <dimension ref="A2:Z8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","202"," - ","Accounting")</f>
        <v>Department 202 - Accounting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34350.779999999992</v>
      </c>
      <c r="E18" s="23"/>
      <c r="F18" s="31">
        <f t="shared" ref="F18:F64" si="0">IF(D$12=0,0,D18/D$12)</f>
        <v>0</v>
      </c>
      <c r="G18" s="23"/>
      <c r="H18" s="23" cm="1">
        <f t="array" ref="H18">SUM(OSRRefH22x_0)</f>
        <v>36641.142056307675</v>
      </c>
      <c r="I18" s="23"/>
      <c r="J18" s="31">
        <f t="shared" ref="J18:J64" si="1">IF(H$12=0,0,H18/H$12)</f>
        <v>0</v>
      </c>
      <c r="K18" s="5"/>
      <c r="L18" s="23">
        <f t="shared" ref="L18:L64" si="2">+D18-H18</f>
        <v>-2290.3620563076838</v>
      </c>
      <c r="M18" s="5"/>
      <c r="N18" s="31">
        <f t="shared" ref="N18:N64" si="3">IF(H18=0,0,L18/H18)</f>
        <v>-6.2507933098482779E-2</v>
      </c>
      <c r="O18" s="11"/>
      <c r="P18" s="23" cm="1">
        <f t="array" ref="P18">SUM(OSRRefP22x_0)</f>
        <v>484393.08000000007</v>
      </c>
      <c r="Q18" s="23"/>
      <c r="R18" s="31">
        <f t="shared" ref="R18:R64" si="4">IF(P$12=0,0,P18/P$12)</f>
        <v>0</v>
      </c>
      <c r="S18" s="23"/>
      <c r="T18" s="23" cm="1">
        <f t="array" ref="T18">SUM(OSRRefT22x_0)</f>
        <v>473355.37176369177</v>
      </c>
      <c r="U18" s="23"/>
      <c r="V18" s="31">
        <f t="shared" ref="V18:V64" si="5">IF(T$12=0,0,T18/T$12)</f>
        <v>0</v>
      </c>
      <c r="W18" s="5"/>
      <c r="X18" s="23">
        <f t="shared" ref="X18:X64" si="6">+P18-T18</f>
        <v>11037.708236308303</v>
      </c>
      <c r="Y18" s="5"/>
      <c r="Z18" s="31">
        <f t="shared" ref="Z18:Z64" si="7">IF(T18=0,0,X18/T18)</f>
        <v>2.3318016219362865E-2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12822.039999999999</v>
      </c>
      <c r="E19" s="2"/>
      <c r="F19" s="6">
        <f t="shared" si="0"/>
        <v>0</v>
      </c>
      <c r="G19" s="2"/>
      <c r="H19" s="2">
        <f>SUM(OSRRefH22_0x_0)</f>
        <v>12854.56667169231</v>
      </c>
      <c r="I19" s="2"/>
      <c r="J19" s="6">
        <f t="shared" si="1"/>
        <v>0</v>
      </c>
      <c r="K19" s="2"/>
      <c r="L19" s="2">
        <f t="shared" si="2"/>
        <v>-32.526671692310629</v>
      </c>
      <c r="M19" s="2"/>
      <c r="N19" s="6">
        <f t="shared" si="3"/>
        <v>-2.5303592507664422E-3</v>
      </c>
      <c r="O19" s="14"/>
      <c r="P19" s="2">
        <f>SUM(OSRRefP22_0x_0)</f>
        <v>152123.32999999999</v>
      </c>
      <c r="Q19" s="2"/>
      <c r="R19" s="6">
        <f t="shared" si="4"/>
        <v>0</v>
      </c>
      <c r="S19" s="2"/>
      <c r="T19" s="2">
        <f>SUM(OSRRefT22_0x_0)</f>
        <v>146209.66714830781</v>
      </c>
      <c r="U19" s="2"/>
      <c r="V19" s="6">
        <f t="shared" si="5"/>
        <v>0</v>
      </c>
      <c r="W19" s="2"/>
      <c r="X19" s="2">
        <f t="shared" si="6"/>
        <v>5913.6628516921774</v>
      </c>
      <c r="Y19" s="2"/>
      <c r="Z19" s="6">
        <f t="shared" si="7"/>
        <v>4.0446455881016759E-2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1695.1</v>
      </c>
      <c r="E20" s="3"/>
      <c r="F20" s="7">
        <f t="shared" si="0"/>
        <v>0</v>
      </c>
      <c r="G20" s="3"/>
      <c r="H20" s="8">
        <v>1765.49058553846</v>
      </c>
      <c r="I20" s="3"/>
      <c r="J20" s="7">
        <f t="shared" si="1"/>
        <v>0</v>
      </c>
      <c r="K20" s="3"/>
      <c r="L20" s="8">
        <f t="shared" si="2"/>
        <v>-70.390585538460073</v>
      </c>
      <c r="M20" s="3"/>
      <c r="N20" s="7">
        <f t="shared" si="3"/>
        <v>-3.9870269552862853E-2</v>
      </c>
      <c r="O20" s="12"/>
      <c r="P20" s="8">
        <v>20062.080000000002</v>
      </c>
      <c r="Q20" s="3"/>
      <c r="R20" s="7">
        <f t="shared" si="4"/>
        <v>0</v>
      </c>
      <c r="S20" s="3"/>
      <c r="T20" s="8">
        <v>20177.037954461499</v>
      </c>
      <c r="U20" s="3"/>
      <c r="V20" s="7">
        <f t="shared" si="5"/>
        <v>0</v>
      </c>
      <c r="W20" s="3"/>
      <c r="X20" s="8">
        <f t="shared" si="6"/>
        <v>-114.95795446149714</v>
      </c>
      <c r="Y20" s="3"/>
      <c r="Z20" s="7">
        <f t="shared" si="7"/>
        <v>-5.6974643513557901E-3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434.44</v>
      </c>
      <c r="E21" s="3"/>
      <c r="F21" s="7">
        <f t="shared" si="0"/>
        <v>0</v>
      </c>
      <c r="G21" s="3"/>
      <c r="H21" s="8">
        <v>75.229750769230705</v>
      </c>
      <c r="I21" s="3"/>
      <c r="J21" s="7">
        <f t="shared" si="1"/>
        <v>0</v>
      </c>
      <c r="K21" s="3"/>
      <c r="L21" s="8">
        <f t="shared" si="2"/>
        <v>359.21024923076931</v>
      </c>
      <c r="M21" s="3"/>
      <c r="N21" s="7">
        <f t="shared" si="3"/>
        <v>4.774843005032098</v>
      </c>
      <c r="O21" s="12"/>
      <c r="P21" s="8">
        <v>3437.24</v>
      </c>
      <c r="Q21" s="3"/>
      <c r="R21" s="7">
        <f t="shared" si="4"/>
        <v>0</v>
      </c>
      <c r="S21" s="3"/>
      <c r="T21" s="8">
        <v>883.97348923077004</v>
      </c>
      <c r="U21" s="3"/>
      <c r="V21" s="7">
        <f t="shared" si="5"/>
        <v>0</v>
      </c>
      <c r="W21" s="3"/>
      <c r="X21" s="8">
        <f t="shared" si="6"/>
        <v>2553.2665107692296</v>
      </c>
      <c r="Y21" s="3"/>
      <c r="Z21" s="7">
        <f t="shared" si="7"/>
        <v>2.8883971542982261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5721.83</v>
      </c>
      <c r="E22" s="3"/>
      <c r="F22" s="7">
        <f t="shared" si="0"/>
        <v>0</v>
      </c>
      <c r="G22" s="3"/>
      <c r="H22" s="8">
        <v>6123</v>
      </c>
      <c r="I22" s="3"/>
      <c r="J22" s="7">
        <f t="shared" si="1"/>
        <v>0</v>
      </c>
      <c r="K22" s="3"/>
      <c r="L22" s="8">
        <f t="shared" si="2"/>
        <v>-401.17000000000007</v>
      </c>
      <c r="M22" s="3"/>
      <c r="N22" s="7">
        <f t="shared" si="3"/>
        <v>-6.5518536665033489E-2</v>
      </c>
      <c r="O22" s="12"/>
      <c r="P22" s="8">
        <v>65984.11</v>
      </c>
      <c r="Q22" s="3"/>
      <c r="R22" s="7">
        <f t="shared" si="4"/>
        <v>0</v>
      </c>
      <c r="S22" s="3"/>
      <c r="T22" s="8">
        <v>67353</v>
      </c>
      <c r="U22" s="3"/>
      <c r="V22" s="7">
        <f t="shared" si="5"/>
        <v>0</v>
      </c>
      <c r="W22" s="3"/>
      <c r="X22" s="8">
        <f t="shared" si="6"/>
        <v>-1368.8899999999994</v>
      </c>
      <c r="Y22" s="3"/>
      <c r="Z22" s="7">
        <f t="shared" si="7"/>
        <v>-2.032411325404955E-2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87.56</v>
      </c>
      <c r="E23" s="3"/>
      <c r="F23" s="7">
        <f t="shared" si="0"/>
        <v>0</v>
      </c>
      <c r="G23" s="3"/>
      <c r="H23" s="8">
        <v>50.962089230769202</v>
      </c>
      <c r="I23" s="3"/>
      <c r="J23" s="7">
        <f t="shared" si="1"/>
        <v>0</v>
      </c>
      <c r="K23" s="3"/>
      <c r="L23" s="8">
        <f t="shared" si="2"/>
        <v>36.597910769230801</v>
      </c>
      <c r="M23" s="3"/>
      <c r="N23" s="7">
        <f t="shared" si="3"/>
        <v>0.71813992168779073</v>
      </c>
      <c r="O23" s="12"/>
      <c r="P23" s="8">
        <v>692.78</v>
      </c>
      <c r="Q23" s="3"/>
      <c r="R23" s="7">
        <f t="shared" si="4"/>
        <v>0</v>
      </c>
      <c r="S23" s="3"/>
      <c r="T23" s="8">
        <v>598.82075076923002</v>
      </c>
      <c r="U23" s="3"/>
      <c r="V23" s="7">
        <f t="shared" si="5"/>
        <v>0</v>
      </c>
      <c r="W23" s="3"/>
      <c r="X23" s="8">
        <f t="shared" si="6"/>
        <v>93.959249230769956</v>
      </c>
      <c r="Y23" s="3"/>
      <c r="Z23" s="7">
        <f t="shared" si="7"/>
        <v>0.15690713641782164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1883.23</v>
      </c>
      <c r="E24" s="3"/>
      <c r="F24" s="7">
        <f t="shared" si="0"/>
        <v>0</v>
      </c>
      <c r="G24" s="3"/>
      <c r="H24" s="8">
        <v>1880.89409230769</v>
      </c>
      <c r="I24" s="3"/>
      <c r="J24" s="7">
        <f t="shared" si="1"/>
        <v>0</v>
      </c>
      <c r="K24" s="3"/>
      <c r="L24" s="8">
        <f t="shared" si="2"/>
        <v>2.3359076923100019</v>
      </c>
      <c r="M24" s="3"/>
      <c r="N24" s="7">
        <f t="shared" si="3"/>
        <v>1.2419134611901784E-3</v>
      </c>
      <c r="O24" s="12"/>
      <c r="P24" s="8">
        <v>23565.23</v>
      </c>
      <c r="Q24" s="3"/>
      <c r="R24" s="7">
        <f t="shared" si="4"/>
        <v>0</v>
      </c>
      <c r="S24" s="3"/>
      <c r="T24" s="8">
        <v>22570.729107692299</v>
      </c>
      <c r="U24" s="3"/>
      <c r="V24" s="7">
        <f t="shared" si="5"/>
        <v>0</v>
      </c>
      <c r="W24" s="3"/>
      <c r="X24" s="8">
        <f t="shared" si="6"/>
        <v>994.50089230770027</v>
      </c>
      <c r="Y24" s="3"/>
      <c r="Z24" s="7">
        <f t="shared" si="7"/>
        <v>4.4061531533279789E-2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>
        <v>1480.87</v>
      </c>
      <c r="E26" s="3"/>
      <c r="F26" s="7">
        <f t="shared" si="0"/>
        <v>0</v>
      </c>
      <c r="G26" s="3"/>
      <c r="H26" s="8">
        <v>1093.54307692308</v>
      </c>
      <c r="I26" s="3"/>
      <c r="J26" s="7">
        <f t="shared" si="1"/>
        <v>0</v>
      </c>
      <c r="K26" s="3"/>
      <c r="L26" s="8">
        <f t="shared" si="2"/>
        <v>387.32692307691991</v>
      </c>
      <c r="M26" s="3"/>
      <c r="N26" s="7">
        <f t="shared" si="3"/>
        <v>0.35419448145266302</v>
      </c>
      <c r="O26" s="12"/>
      <c r="P26" s="8">
        <v>17906.599999999999</v>
      </c>
      <c r="Q26" s="3"/>
      <c r="R26" s="7">
        <f t="shared" si="4"/>
        <v>0</v>
      </c>
      <c r="S26" s="3"/>
      <c r="T26" s="8">
        <v>13122.516923077001</v>
      </c>
      <c r="U26" s="3"/>
      <c r="V26" s="7">
        <f t="shared" si="5"/>
        <v>0</v>
      </c>
      <c r="W26" s="3"/>
      <c r="X26" s="8">
        <f t="shared" si="6"/>
        <v>4784.0830769229979</v>
      </c>
      <c r="Y26" s="3"/>
      <c r="Z26" s="7">
        <f t="shared" si="7"/>
        <v>0.36457053970414799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>
        <v>1018.58</v>
      </c>
      <c r="E27" s="3"/>
      <c r="F27" s="7">
        <f t="shared" si="0"/>
        <v>0</v>
      </c>
      <c r="G27" s="3"/>
      <c r="H27" s="8">
        <v>1165.44707692308</v>
      </c>
      <c r="I27" s="3"/>
      <c r="J27" s="7">
        <f t="shared" si="1"/>
        <v>0</v>
      </c>
      <c r="K27" s="3"/>
      <c r="L27" s="8">
        <f t="shared" si="2"/>
        <v>-146.86707692307994</v>
      </c>
      <c r="M27" s="3"/>
      <c r="N27" s="7">
        <f t="shared" si="3"/>
        <v>-0.12601780023407552</v>
      </c>
      <c r="O27" s="12"/>
      <c r="P27" s="8">
        <v>14491.15</v>
      </c>
      <c r="Q27" s="3"/>
      <c r="R27" s="7">
        <f t="shared" si="4"/>
        <v>0</v>
      </c>
      <c r="S27" s="3"/>
      <c r="T27" s="8">
        <v>13803.588923077001</v>
      </c>
      <c r="U27" s="3"/>
      <c r="V27" s="7">
        <f t="shared" si="5"/>
        <v>0</v>
      </c>
      <c r="W27" s="3"/>
      <c r="X27" s="8">
        <f t="shared" si="6"/>
        <v>687.56107692299884</v>
      </c>
      <c r="Y27" s="3"/>
      <c r="Z27" s="7">
        <f t="shared" si="7"/>
        <v>4.9810312430669842E-2</v>
      </c>
    </row>
    <row r="28" spans="1:26" s="70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8">
        <v>500.43</v>
      </c>
      <c r="E28" s="3"/>
      <c r="F28" s="7">
        <f t="shared" si="0"/>
        <v>0</v>
      </c>
      <c r="G28" s="3"/>
      <c r="H28" s="8">
        <v>700</v>
      </c>
      <c r="I28" s="3"/>
      <c r="J28" s="7">
        <f t="shared" si="1"/>
        <v>0</v>
      </c>
      <c r="K28" s="3"/>
      <c r="L28" s="8">
        <f t="shared" si="2"/>
        <v>-199.57</v>
      </c>
      <c r="M28" s="3"/>
      <c r="N28" s="7">
        <f t="shared" si="3"/>
        <v>-0.28509999999999996</v>
      </c>
      <c r="O28" s="12"/>
      <c r="P28" s="8">
        <v>5984.14</v>
      </c>
      <c r="Q28" s="3"/>
      <c r="R28" s="7">
        <f t="shared" si="4"/>
        <v>0</v>
      </c>
      <c r="S28" s="3"/>
      <c r="T28" s="8">
        <v>7700</v>
      </c>
      <c r="U28" s="3"/>
      <c r="V28" s="7">
        <f t="shared" si="5"/>
        <v>0</v>
      </c>
      <c r="W28" s="3"/>
      <c r="X28" s="8">
        <f t="shared" si="6"/>
        <v>-1715.8599999999997</v>
      </c>
      <c r="Y28" s="3"/>
      <c r="Z28" s="7">
        <f t="shared" si="7"/>
        <v>-0.222838961038961</v>
      </c>
    </row>
    <row r="29" spans="1:26" s="69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19589.759999999998</v>
      </c>
      <c r="E29" s="2"/>
      <c r="F29" s="6">
        <f t="shared" si="0"/>
        <v>0</v>
      </c>
      <c r="G29" s="2"/>
      <c r="H29" s="2">
        <f>SUM(OSRRefH22_1x_0)</f>
        <v>22080.575384615364</v>
      </c>
      <c r="I29" s="2"/>
      <c r="J29" s="6">
        <f t="shared" si="1"/>
        <v>0</v>
      </c>
      <c r="K29" s="2"/>
      <c r="L29" s="2">
        <f t="shared" si="2"/>
        <v>-2490.8153846153655</v>
      </c>
      <c r="M29" s="2"/>
      <c r="N29" s="6">
        <f t="shared" si="3"/>
        <v>-0.11280572816733936</v>
      </c>
      <c r="O29" s="14"/>
      <c r="P29" s="2">
        <f>SUM(OSRRefP22_1x_0)</f>
        <v>253995.13999999998</v>
      </c>
      <c r="Q29" s="2"/>
      <c r="R29" s="6">
        <f t="shared" si="4"/>
        <v>0</v>
      </c>
      <c r="S29" s="2"/>
      <c r="T29" s="2">
        <f>SUM(OSRRefT22_1x_0)</f>
        <v>258907.7046153839</v>
      </c>
      <c r="U29" s="2"/>
      <c r="V29" s="6">
        <f t="shared" si="5"/>
        <v>0</v>
      </c>
      <c r="W29" s="2"/>
      <c r="X29" s="2">
        <f t="shared" si="6"/>
        <v>-4912.5646153839189</v>
      </c>
      <c r="Y29" s="2"/>
      <c r="Z29" s="6">
        <f t="shared" si="7"/>
        <v>-1.8974192454727055E-2</v>
      </c>
    </row>
    <row r="30" spans="1:26" s="70" customFormat="1" ht="15" hidden="1" customHeight="1" outlineLevel="2" x14ac:dyDescent="0.25">
      <c r="A30" s="25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5581.9661538461596</v>
      </c>
      <c r="I30" s="3"/>
      <c r="J30" s="7">
        <f t="shared" si="1"/>
        <v>0</v>
      </c>
      <c r="K30" s="3"/>
      <c r="L30" s="8">
        <f t="shared" si="2"/>
        <v>-5581.9661538461596</v>
      </c>
      <c r="M30" s="3"/>
      <c r="N30" s="7">
        <f t="shared" si="3"/>
        <v>-1</v>
      </c>
      <c r="O30" s="12"/>
      <c r="P30" s="8"/>
      <c r="Q30" s="3"/>
      <c r="R30" s="7">
        <f t="shared" si="4"/>
        <v>0</v>
      </c>
      <c r="S30" s="3"/>
      <c r="T30" s="8">
        <v>66983.593846153904</v>
      </c>
      <c r="U30" s="3"/>
      <c r="V30" s="7">
        <f t="shared" si="5"/>
        <v>0</v>
      </c>
      <c r="W30" s="3"/>
      <c r="X30" s="8">
        <f t="shared" si="6"/>
        <v>-66983.593846153904</v>
      </c>
      <c r="Y30" s="3"/>
      <c r="Z30" s="7">
        <f t="shared" si="7"/>
        <v>-1</v>
      </c>
    </row>
    <row r="31" spans="1:26" s="70" customFormat="1" ht="15" hidden="1" customHeight="1" outlineLevel="2" x14ac:dyDescent="0.25">
      <c r="A31" s="25"/>
      <c r="B31" s="12" t="str">
        <f>CONCATENATE("          ","6002"," - ","STAFF SALARIES")</f>
        <v xml:space="preserve">          6002 - STAFF SALARIES</v>
      </c>
      <c r="C31" s="12"/>
      <c r="D31" s="8">
        <v>19413.439999999999</v>
      </c>
      <c r="E31" s="3"/>
      <c r="F31" s="7">
        <f t="shared" si="0"/>
        <v>0</v>
      </c>
      <c r="G31" s="3"/>
      <c r="H31" s="8">
        <v>14101.8092307692</v>
      </c>
      <c r="I31" s="3"/>
      <c r="J31" s="7">
        <f t="shared" si="1"/>
        <v>0</v>
      </c>
      <c r="K31" s="3"/>
      <c r="L31" s="8">
        <f t="shared" si="2"/>
        <v>5311.6307692307983</v>
      </c>
      <c r="M31" s="3"/>
      <c r="N31" s="7">
        <f t="shared" si="3"/>
        <v>0.37666307083783096</v>
      </c>
      <c r="O31" s="12"/>
      <c r="P31" s="8">
        <v>249542.18</v>
      </c>
      <c r="Q31" s="3"/>
      <c r="R31" s="7">
        <f t="shared" si="4"/>
        <v>0</v>
      </c>
      <c r="S31" s="3"/>
      <c r="T31" s="8">
        <v>169221.71076923001</v>
      </c>
      <c r="U31" s="3"/>
      <c r="V31" s="7">
        <f t="shared" si="5"/>
        <v>0</v>
      </c>
      <c r="W31" s="3"/>
      <c r="X31" s="8">
        <f t="shared" si="6"/>
        <v>80320.469230769988</v>
      </c>
      <c r="Y31" s="3"/>
      <c r="Z31" s="7">
        <f t="shared" si="7"/>
        <v>0.4746463610706792</v>
      </c>
    </row>
    <row r="32" spans="1:26" s="70" customFormat="1" ht="15" hidden="1" customHeight="1" outlineLevel="2" x14ac:dyDescent="0.25">
      <c r="A32" s="25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8">
        <v>176.32</v>
      </c>
      <c r="E36" s="3"/>
      <c r="F36" s="7">
        <f t="shared" si="0"/>
        <v>0</v>
      </c>
      <c r="G36" s="3"/>
      <c r="H36" s="8">
        <v>1198.4000000000001</v>
      </c>
      <c r="I36" s="3"/>
      <c r="J36" s="7">
        <f t="shared" si="1"/>
        <v>0</v>
      </c>
      <c r="K36" s="3"/>
      <c r="L36" s="8">
        <f t="shared" si="2"/>
        <v>-1022.0800000000002</v>
      </c>
      <c r="M36" s="3"/>
      <c r="N36" s="7">
        <f t="shared" si="3"/>
        <v>-0.85287049399198933</v>
      </c>
      <c r="O36" s="12"/>
      <c r="P36" s="8">
        <v>4452.96</v>
      </c>
      <c r="Q36" s="3"/>
      <c r="R36" s="7">
        <f t="shared" si="4"/>
        <v>0</v>
      </c>
      <c r="S36" s="3"/>
      <c r="T36" s="8">
        <v>1198.4000000000001</v>
      </c>
      <c r="U36" s="3"/>
      <c r="V36" s="7">
        <f t="shared" si="5"/>
        <v>0</v>
      </c>
      <c r="W36" s="3"/>
      <c r="X36" s="8">
        <f t="shared" si="6"/>
        <v>3254.56</v>
      </c>
      <c r="Y36" s="3"/>
      <c r="Z36" s="7">
        <f t="shared" si="7"/>
        <v>2.715754339118825</v>
      </c>
    </row>
    <row r="37" spans="1:26" s="70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1198.4000000000001</v>
      </c>
      <c r="I37" s="3"/>
      <c r="J37" s="7">
        <f t="shared" si="1"/>
        <v>0</v>
      </c>
      <c r="K37" s="3"/>
      <c r="L37" s="8">
        <f t="shared" si="2"/>
        <v>-1198.4000000000001</v>
      </c>
      <c r="M37" s="3"/>
      <c r="N37" s="7">
        <f t="shared" si="3"/>
        <v>-1</v>
      </c>
      <c r="O37" s="12"/>
      <c r="P37" s="8"/>
      <c r="Q37" s="3"/>
      <c r="R37" s="7">
        <f t="shared" si="4"/>
        <v>0</v>
      </c>
      <c r="S37" s="3"/>
      <c r="T37" s="8">
        <v>21504</v>
      </c>
      <c r="U37" s="3"/>
      <c r="V37" s="7">
        <f t="shared" si="5"/>
        <v>0</v>
      </c>
      <c r="W37" s="3"/>
      <c r="X37" s="8">
        <f t="shared" si="6"/>
        <v>-21504</v>
      </c>
      <c r="Y37" s="3"/>
      <c r="Z37" s="7">
        <f t="shared" si="7"/>
        <v>-1</v>
      </c>
    </row>
    <row r="38" spans="1:26" s="70" customFormat="1" ht="15" hidden="1" customHeight="1" outlineLevel="2" x14ac:dyDescent="0.25">
      <c r="A38" s="25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25">
      <c r="A40" s="26"/>
      <c r="B40" s="14" t="str">
        <f>CONCATENATE("     ","Depreciation                                      ")</f>
        <v xml:space="preserve">     Depreciation  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12471</v>
      </c>
      <c r="Q40" s="2"/>
      <c r="R40" s="6">
        <f t="shared" si="4"/>
        <v>0</v>
      </c>
      <c r="S40" s="2"/>
      <c r="T40" s="2">
        <f>SUM(OSRRefT22_2x_0)</f>
        <v>12472</v>
      </c>
      <c r="U40" s="2"/>
      <c r="V40" s="6">
        <f t="shared" si="5"/>
        <v>0</v>
      </c>
      <c r="W40" s="2"/>
      <c r="X40" s="2">
        <f t="shared" si="6"/>
        <v>-1</v>
      </c>
      <c r="Y40" s="2"/>
      <c r="Z40" s="6">
        <f t="shared" si="7"/>
        <v>-8.0179602309172541E-5</v>
      </c>
    </row>
    <row r="41" spans="1:26" s="70" customFormat="1" ht="15" hidden="1" customHeight="1" outlineLevel="2" x14ac:dyDescent="0.25">
      <c r="A41" s="25"/>
      <c r="B41" s="12" t="str">
        <f>CONCATENATE("          ","6322"," - ","EQUIPMENT DEPRECIATION EXPENSE")</f>
        <v xml:space="preserve">          6322 - EQUIPMENT DEPRECIATION EXPENSE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12471</v>
      </c>
      <c r="Q41" s="3"/>
      <c r="R41" s="7">
        <f t="shared" si="4"/>
        <v>0</v>
      </c>
      <c r="S41" s="3"/>
      <c r="T41" s="8">
        <v>12472</v>
      </c>
      <c r="U41" s="3"/>
      <c r="V41" s="7">
        <f t="shared" si="5"/>
        <v>0</v>
      </c>
      <c r="W41" s="3"/>
      <c r="X41" s="8">
        <f t="shared" si="6"/>
        <v>-1</v>
      </c>
      <c r="Y41" s="3"/>
      <c r="Z41" s="7">
        <f t="shared" si="7"/>
        <v>-8.0179602309172541E-5</v>
      </c>
    </row>
    <row r="42" spans="1:26" s="69" customFormat="1" ht="15" customHeight="1" outlineLevel="1" collapsed="1" x14ac:dyDescent="0.25">
      <c r="A42" s="26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8.02</v>
      </c>
      <c r="Q42" s="2"/>
      <c r="R42" s="6">
        <f t="shared" si="4"/>
        <v>0</v>
      </c>
      <c r="S42" s="2"/>
      <c r="T42" s="2">
        <f>SUM(OSRRefT22_3x_0)</f>
        <v>0</v>
      </c>
      <c r="U42" s="2"/>
      <c r="V42" s="6">
        <f t="shared" si="5"/>
        <v>0</v>
      </c>
      <c r="W42" s="2"/>
      <c r="X42" s="2">
        <f t="shared" si="6"/>
        <v>8.02</v>
      </c>
      <c r="Y42" s="2"/>
      <c r="Z42" s="6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","6277"," - ","EMPLOYEE APPRECIATION")</f>
        <v xml:space="preserve">          6277 - EMPLOYEE APPRECIATION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8.02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8.02</v>
      </c>
      <c r="Y43" s="3"/>
      <c r="Z43" s="7">
        <f t="shared" si="7"/>
        <v>0</v>
      </c>
    </row>
    <row r="44" spans="1:26" s="69" customFormat="1" ht="15" customHeight="1" outlineLevel="1" collapsed="1" x14ac:dyDescent="0.25">
      <c r="A44" s="26"/>
      <c r="B44" s="14" t="str">
        <f>CONCATENATE("     ","Equipment Rental                                  ")</f>
        <v xml:space="preserve">     Equipment Rental                                  </v>
      </c>
      <c r="C44" s="14"/>
      <c r="D44" s="2">
        <f>SUM(OSRRefD22_4x_0)</f>
        <v>91.26</v>
      </c>
      <c r="E44" s="2"/>
      <c r="F44" s="6">
        <f t="shared" si="0"/>
        <v>0</v>
      </c>
      <c r="G44" s="2"/>
      <c r="H44" s="2">
        <f>SUM(OSRRefH22_4x_0)</f>
        <v>91</v>
      </c>
      <c r="I44" s="2"/>
      <c r="J44" s="6">
        <f t="shared" si="1"/>
        <v>0</v>
      </c>
      <c r="K44" s="2"/>
      <c r="L44" s="2">
        <f t="shared" si="2"/>
        <v>0.26000000000000512</v>
      </c>
      <c r="M44" s="2"/>
      <c r="N44" s="6">
        <f t="shared" si="3"/>
        <v>2.8571428571429135E-3</v>
      </c>
      <c r="O44" s="14"/>
      <c r="P44" s="2">
        <f>SUM(OSRRefP22_4x_0)</f>
        <v>1003.86</v>
      </c>
      <c r="Q44" s="2"/>
      <c r="R44" s="6">
        <f t="shared" si="4"/>
        <v>0</v>
      </c>
      <c r="S44" s="2"/>
      <c r="T44" s="2">
        <f>SUM(OSRRefT22_4x_0)</f>
        <v>1001</v>
      </c>
      <c r="U44" s="2"/>
      <c r="V44" s="6">
        <f t="shared" si="5"/>
        <v>0</v>
      </c>
      <c r="W44" s="2"/>
      <c r="X44" s="2">
        <f t="shared" si="6"/>
        <v>2.8600000000000136</v>
      </c>
      <c r="Y44" s="2"/>
      <c r="Z44" s="6">
        <f t="shared" si="7"/>
        <v>2.8571428571428706E-3</v>
      </c>
    </row>
    <row r="45" spans="1:26" s="70" customFormat="1" ht="15" hidden="1" customHeight="1" outlineLevel="2" x14ac:dyDescent="0.25">
      <c r="A45" s="25"/>
      <c r="B45" s="12" t="str">
        <f>CONCATENATE("          ","6351"," - ","EQUIPMENT RENTAL")</f>
        <v xml:space="preserve">          6351 - EQUIPMENT RENTAL</v>
      </c>
      <c r="C45" s="12"/>
      <c r="D45" s="8">
        <v>91.26</v>
      </c>
      <c r="E45" s="3"/>
      <c r="F45" s="7">
        <f t="shared" si="0"/>
        <v>0</v>
      </c>
      <c r="G45" s="3"/>
      <c r="H45" s="8">
        <v>91</v>
      </c>
      <c r="I45" s="3"/>
      <c r="J45" s="7">
        <f t="shared" si="1"/>
        <v>0</v>
      </c>
      <c r="K45" s="3"/>
      <c r="L45" s="8">
        <f t="shared" si="2"/>
        <v>0.26000000000000512</v>
      </c>
      <c r="M45" s="3"/>
      <c r="N45" s="7">
        <f t="shared" si="3"/>
        <v>2.8571428571429135E-3</v>
      </c>
      <c r="O45" s="12"/>
      <c r="P45" s="8">
        <v>1003.86</v>
      </c>
      <c r="Q45" s="3"/>
      <c r="R45" s="7">
        <f t="shared" si="4"/>
        <v>0</v>
      </c>
      <c r="S45" s="3"/>
      <c r="T45" s="8">
        <v>1001</v>
      </c>
      <c r="U45" s="3"/>
      <c r="V45" s="7">
        <f t="shared" si="5"/>
        <v>0</v>
      </c>
      <c r="W45" s="3"/>
      <c r="X45" s="8">
        <f t="shared" si="6"/>
        <v>2.8600000000000136</v>
      </c>
      <c r="Y45" s="3"/>
      <c r="Z45" s="7">
        <f t="shared" si="7"/>
        <v>2.8571428571428706E-3</v>
      </c>
    </row>
    <row r="46" spans="1:26" s="69" customFormat="1" ht="15" customHeight="1" outlineLevel="1" collapsed="1" x14ac:dyDescent="0.25">
      <c r="A46" s="26"/>
      <c r="B46" s="14" t="str">
        <f>CONCATENATE("     ","Freight out/Postage                               ")</f>
        <v xml:space="preserve">     Freight out/Postage                               </v>
      </c>
      <c r="C46" s="14"/>
      <c r="D46" s="2">
        <f>SUM(OSRRefD22_5x_0)</f>
        <v>113.36</v>
      </c>
      <c r="E46" s="2"/>
      <c r="F46" s="6">
        <f t="shared" si="0"/>
        <v>0</v>
      </c>
      <c r="G46" s="2"/>
      <c r="H46" s="2">
        <f>SUM(OSRRefH22_5x_0)</f>
        <v>100</v>
      </c>
      <c r="I46" s="2"/>
      <c r="J46" s="6">
        <f t="shared" si="1"/>
        <v>0</v>
      </c>
      <c r="K46" s="2"/>
      <c r="L46" s="2">
        <f t="shared" si="2"/>
        <v>13.36</v>
      </c>
      <c r="M46" s="2"/>
      <c r="N46" s="6">
        <f t="shared" si="3"/>
        <v>0.1336</v>
      </c>
      <c r="O46" s="14"/>
      <c r="P46" s="2">
        <f>SUM(OSRRefP22_5x_0)</f>
        <v>1499.09</v>
      </c>
      <c r="Q46" s="2"/>
      <c r="R46" s="6">
        <f t="shared" si="4"/>
        <v>0</v>
      </c>
      <c r="S46" s="2"/>
      <c r="T46" s="2">
        <f>SUM(OSRRefT22_5x_0)</f>
        <v>1100</v>
      </c>
      <c r="U46" s="2"/>
      <c r="V46" s="6">
        <f t="shared" si="5"/>
        <v>0</v>
      </c>
      <c r="W46" s="2"/>
      <c r="X46" s="2">
        <f t="shared" si="6"/>
        <v>399.08999999999992</v>
      </c>
      <c r="Y46" s="2"/>
      <c r="Z46" s="6">
        <f t="shared" si="7"/>
        <v>0.36280909090909086</v>
      </c>
    </row>
    <row r="47" spans="1:26" s="70" customFormat="1" ht="15" hidden="1" customHeight="1" outlineLevel="2" x14ac:dyDescent="0.25">
      <c r="A47" s="25"/>
      <c r="B47" s="12" t="str">
        <f>CONCATENATE("          ","6307"," - ","POSTAGE")</f>
        <v xml:space="preserve">          6307 - POSTAGE</v>
      </c>
      <c r="C47" s="12"/>
      <c r="D47" s="8">
        <v>113.36</v>
      </c>
      <c r="E47" s="3"/>
      <c r="F47" s="7">
        <f t="shared" si="0"/>
        <v>0</v>
      </c>
      <c r="G47" s="3"/>
      <c r="H47" s="8">
        <v>100</v>
      </c>
      <c r="I47" s="3"/>
      <c r="J47" s="7">
        <f t="shared" si="1"/>
        <v>0</v>
      </c>
      <c r="K47" s="3"/>
      <c r="L47" s="8">
        <f t="shared" si="2"/>
        <v>13.36</v>
      </c>
      <c r="M47" s="3"/>
      <c r="N47" s="7">
        <f t="shared" si="3"/>
        <v>0.1336</v>
      </c>
      <c r="O47" s="12"/>
      <c r="P47" s="8">
        <v>1499.09</v>
      </c>
      <c r="Q47" s="3"/>
      <c r="R47" s="7">
        <f t="shared" si="4"/>
        <v>0</v>
      </c>
      <c r="S47" s="3"/>
      <c r="T47" s="8">
        <v>1100</v>
      </c>
      <c r="U47" s="3"/>
      <c r="V47" s="7">
        <f t="shared" si="5"/>
        <v>0</v>
      </c>
      <c r="W47" s="3"/>
      <c r="X47" s="8">
        <f t="shared" si="6"/>
        <v>399.08999999999992</v>
      </c>
      <c r="Y47" s="3"/>
      <c r="Z47" s="7">
        <f t="shared" si="7"/>
        <v>0.36280909090909086</v>
      </c>
    </row>
    <row r="48" spans="1:26" s="69" customFormat="1" ht="15" customHeight="1" outlineLevel="1" collapsed="1" x14ac:dyDescent="0.25">
      <c r="A48" s="26"/>
      <c r="B48" s="14" t="str">
        <f>CONCATENATE("     ","Insurance                                         ")</f>
        <v xml:space="preserve">     Insurance                                         </v>
      </c>
      <c r="C48" s="14"/>
      <c r="D48" s="2">
        <f>SUM(OSRRefD22_6x_0)</f>
        <v>179.64</v>
      </c>
      <c r="E48" s="2"/>
      <c r="F48" s="6">
        <f t="shared" si="0"/>
        <v>0</v>
      </c>
      <c r="G48" s="2"/>
      <c r="H48" s="2">
        <f>SUM(OSRRefH22_6x_0)</f>
        <v>180</v>
      </c>
      <c r="I48" s="2"/>
      <c r="J48" s="6">
        <f t="shared" si="1"/>
        <v>0</v>
      </c>
      <c r="K48" s="2"/>
      <c r="L48" s="2">
        <f t="shared" si="2"/>
        <v>-0.36000000000001364</v>
      </c>
      <c r="M48" s="2"/>
      <c r="N48" s="6">
        <f t="shared" si="3"/>
        <v>-2.0000000000000759E-3</v>
      </c>
      <c r="O48" s="14"/>
      <c r="P48" s="2">
        <f>SUM(OSRRefP22_6x_0)</f>
        <v>1976.04</v>
      </c>
      <c r="Q48" s="2"/>
      <c r="R48" s="6">
        <f t="shared" si="4"/>
        <v>0</v>
      </c>
      <c r="S48" s="2"/>
      <c r="T48" s="2">
        <f>SUM(OSRRefT22_6x_0)</f>
        <v>1980</v>
      </c>
      <c r="U48" s="2"/>
      <c r="V48" s="6">
        <f t="shared" si="5"/>
        <v>0</v>
      </c>
      <c r="W48" s="2"/>
      <c r="X48" s="2">
        <f t="shared" si="6"/>
        <v>-3.9600000000000364</v>
      </c>
      <c r="Y48" s="2"/>
      <c r="Z48" s="6">
        <f t="shared" si="7"/>
        <v>-2.0000000000000183E-3</v>
      </c>
    </row>
    <row r="49" spans="1:26" s="70" customFormat="1" ht="15" hidden="1" customHeight="1" outlineLevel="2" x14ac:dyDescent="0.25">
      <c r="A49" s="25"/>
      <c r="B49" s="12" t="str">
        <f>CONCATENATE("          ","6314"," - ","LIABILITY INSURANCE")</f>
        <v xml:space="preserve">          6314 - LIABILITY INSURANCE</v>
      </c>
      <c r="C49" s="12"/>
      <c r="D49" s="8">
        <v>179.64</v>
      </c>
      <c r="E49" s="3"/>
      <c r="F49" s="7">
        <f t="shared" si="0"/>
        <v>0</v>
      </c>
      <c r="G49" s="3"/>
      <c r="H49" s="8">
        <v>180</v>
      </c>
      <c r="I49" s="3"/>
      <c r="J49" s="7">
        <f t="shared" si="1"/>
        <v>0</v>
      </c>
      <c r="K49" s="3"/>
      <c r="L49" s="8">
        <f t="shared" si="2"/>
        <v>-0.36000000000001364</v>
      </c>
      <c r="M49" s="3"/>
      <c r="N49" s="7">
        <f t="shared" si="3"/>
        <v>-2.0000000000000759E-3</v>
      </c>
      <c r="O49" s="12"/>
      <c r="P49" s="8">
        <v>1976.04</v>
      </c>
      <c r="Q49" s="3"/>
      <c r="R49" s="7">
        <f t="shared" si="4"/>
        <v>0</v>
      </c>
      <c r="S49" s="3"/>
      <c r="T49" s="8">
        <v>1980</v>
      </c>
      <c r="U49" s="3"/>
      <c r="V49" s="7">
        <f t="shared" si="5"/>
        <v>0</v>
      </c>
      <c r="W49" s="3"/>
      <c r="X49" s="8">
        <f t="shared" si="6"/>
        <v>-3.9600000000000364</v>
      </c>
      <c r="Y49" s="3"/>
      <c r="Z49" s="7">
        <f t="shared" si="7"/>
        <v>-2.0000000000000183E-3</v>
      </c>
    </row>
    <row r="50" spans="1:26" s="69" customFormat="1" ht="15" customHeight="1" outlineLevel="1" collapsed="1" x14ac:dyDescent="0.25">
      <c r="A50" s="26"/>
      <c r="B50" s="14" t="str">
        <f>CONCATENATE("     ","Repair and Maintenance                            ")</f>
        <v xml:space="preserve">     Repair and Maintenance                            </v>
      </c>
      <c r="C50" s="14"/>
      <c r="D50" s="2">
        <f>SUM(OSRRefD22_7x_0)</f>
        <v>71.48</v>
      </c>
      <c r="E50" s="2"/>
      <c r="F50" s="6">
        <f t="shared" si="0"/>
        <v>0</v>
      </c>
      <c r="G50" s="2"/>
      <c r="H50" s="2">
        <f>SUM(OSRRefH22_7x_0)</f>
        <v>210</v>
      </c>
      <c r="I50" s="2"/>
      <c r="J50" s="6">
        <f t="shared" si="1"/>
        <v>0</v>
      </c>
      <c r="K50" s="2"/>
      <c r="L50" s="2">
        <f t="shared" si="2"/>
        <v>-138.51999999999998</v>
      </c>
      <c r="M50" s="2"/>
      <c r="N50" s="6">
        <f t="shared" si="3"/>
        <v>-0.65961904761904755</v>
      </c>
      <c r="O50" s="14"/>
      <c r="P50" s="2">
        <f>SUM(OSRRefP22_7x_0)</f>
        <v>42619.649999999994</v>
      </c>
      <c r="Q50" s="2"/>
      <c r="R50" s="6">
        <f t="shared" si="4"/>
        <v>0</v>
      </c>
      <c r="S50" s="2"/>
      <c r="T50" s="2">
        <f>SUM(OSRRefT22_7x_0)</f>
        <v>36310</v>
      </c>
      <c r="U50" s="2"/>
      <c r="V50" s="6">
        <f t="shared" si="5"/>
        <v>0</v>
      </c>
      <c r="W50" s="2"/>
      <c r="X50" s="2">
        <f t="shared" si="6"/>
        <v>6309.6499999999942</v>
      </c>
      <c r="Y50" s="2"/>
      <c r="Z50" s="6">
        <f t="shared" si="7"/>
        <v>0.17377168824015407</v>
      </c>
    </row>
    <row r="51" spans="1:26" s="70" customFormat="1" ht="15" hidden="1" customHeight="1" outlineLevel="2" x14ac:dyDescent="0.25">
      <c r="A51" s="25"/>
      <c r="B51" s="12" t="str">
        <f>CONCATENATE("          ","6371"," - ","COMPUTER SOFTWARE MAINTENANCE")</f>
        <v xml:space="preserve">          6371 - COMPUTER SOFTWARE MAINTENANCE</v>
      </c>
      <c r="C51" s="12"/>
      <c r="D51" s="8">
        <v>59.95</v>
      </c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59.95</v>
      </c>
      <c r="M51" s="3"/>
      <c r="N51" s="7">
        <f t="shared" si="3"/>
        <v>0</v>
      </c>
      <c r="O51" s="12"/>
      <c r="P51" s="8">
        <v>35788.32</v>
      </c>
      <c r="Q51" s="3"/>
      <c r="R51" s="7">
        <f t="shared" si="4"/>
        <v>0</v>
      </c>
      <c r="S51" s="3"/>
      <c r="T51" s="8">
        <v>29000</v>
      </c>
      <c r="U51" s="3"/>
      <c r="V51" s="7">
        <f t="shared" si="5"/>
        <v>0</v>
      </c>
      <c r="W51" s="3"/>
      <c r="X51" s="8">
        <f t="shared" si="6"/>
        <v>6788.32</v>
      </c>
      <c r="Y51" s="3"/>
      <c r="Z51" s="7">
        <f t="shared" si="7"/>
        <v>0.23407999999999998</v>
      </c>
    </row>
    <row r="52" spans="1:26" s="70" customFormat="1" ht="15" hidden="1" customHeight="1" outlineLevel="2" x14ac:dyDescent="0.25">
      <c r="A52" s="25"/>
      <c r="B52" s="12" t="str">
        <f>CONCATENATE("          ","6373"," - ","MAINTENANCE CONTRACTS")</f>
        <v xml:space="preserve">          6373 - MAINTENANCE CONTRACTS</v>
      </c>
      <c r="C52" s="12"/>
      <c r="D52" s="8">
        <v>11.53</v>
      </c>
      <c r="E52" s="3"/>
      <c r="F52" s="7">
        <f t="shared" si="0"/>
        <v>0</v>
      </c>
      <c r="G52" s="3"/>
      <c r="H52" s="8">
        <v>60</v>
      </c>
      <c r="I52" s="3"/>
      <c r="J52" s="7">
        <f t="shared" si="1"/>
        <v>0</v>
      </c>
      <c r="K52" s="3"/>
      <c r="L52" s="8">
        <f t="shared" si="2"/>
        <v>-48.47</v>
      </c>
      <c r="M52" s="3"/>
      <c r="N52" s="7">
        <f t="shared" si="3"/>
        <v>-0.80783333333333329</v>
      </c>
      <c r="O52" s="12"/>
      <c r="P52" s="8">
        <v>5273.77</v>
      </c>
      <c r="Q52" s="3"/>
      <c r="R52" s="7">
        <f t="shared" si="4"/>
        <v>0</v>
      </c>
      <c r="S52" s="3"/>
      <c r="T52" s="8">
        <v>5660</v>
      </c>
      <c r="U52" s="3"/>
      <c r="V52" s="7">
        <f t="shared" si="5"/>
        <v>0</v>
      </c>
      <c r="W52" s="3"/>
      <c r="X52" s="8">
        <f t="shared" si="6"/>
        <v>-386.22999999999956</v>
      </c>
      <c r="Y52" s="3"/>
      <c r="Z52" s="7">
        <f t="shared" si="7"/>
        <v>-6.823851590105999E-2</v>
      </c>
    </row>
    <row r="53" spans="1:26" s="70" customFormat="1" ht="15" hidden="1" customHeight="1" outlineLevel="2" x14ac:dyDescent="0.25">
      <c r="A53" s="25"/>
      <c r="B53" s="12" t="str">
        <f>CONCATENATE("          ","6375"," - ","OUTSIDE REPAIRS &amp; MAINTENANCE")</f>
        <v xml:space="preserve">          6375 - OUTSIDE REPAIRS &amp; MAINTENANCE</v>
      </c>
      <c r="C53" s="12"/>
      <c r="D53" s="8"/>
      <c r="E53" s="3"/>
      <c r="F53" s="7">
        <f t="shared" si="0"/>
        <v>0</v>
      </c>
      <c r="G53" s="3"/>
      <c r="H53" s="8">
        <v>150</v>
      </c>
      <c r="I53" s="3"/>
      <c r="J53" s="7">
        <f t="shared" si="1"/>
        <v>0</v>
      </c>
      <c r="K53" s="3"/>
      <c r="L53" s="8">
        <f t="shared" si="2"/>
        <v>-150</v>
      </c>
      <c r="M53" s="3"/>
      <c r="N53" s="7">
        <f t="shared" si="3"/>
        <v>-1</v>
      </c>
      <c r="O53" s="12"/>
      <c r="P53" s="8">
        <v>1557.56</v>
      </c>
      <c r="Q53" s="3"/>
      <c r="R53" s="7">
        <f t="shared" si="4"/>
        <v>0</v>
      </c>
      <c r="S53" s="3"/>
      <c r="T53" s="8">
        <v>1650</v>
      </c>
      <c r="U53" s="3"/>
      <c r="V53" s="7">
        <f t="shared" si="5"/>
        <v>0</v>
      </c>
      <c r="W53" s="3"/>
      <c r="X53" s="8">
        <f t="shared" si="6"/>
        <v>-92.440000000000055</v>
      </c>
      <c r="Y53" s="3"/>
      <c r="Z53" s="7">
        <f t="shared" si="7"/>
        <v>-5.6024242424242456E-2</v>
      </c>
    </row>
    <row r="54" spans="1:26" s="69" customFormat="1" ht="15" customHeight="1" outlineLevel="1" collapsed="1" x14ac:dyDescent="0.25">
      <c r="A54" s="26"/>
      <c r="B54" s="14" t="str">
        <f>CONCATENATE("     ","Services                                          ")</f>
        <v xml:space="preserve">     Services                                          </v>
      </c>
      <c r="C54" s="14"/>
      <c r="D54" s="2">
        <f>SUM(OSRRefD22_8x_0)</f>
        <v>961.14</v>
      </c>
      <c r="E54" s="2"/>
      <c r="F54" s="6">
        <f t="shared" si="0"/>
        <v>0</v>
      </c>
      <c r="G54" s="2"/>
      <c r="H54" s="2">
        <f>SUM(OSRRefH22_8x_0)</f>
        <v>625</v>
      </c>
      <c r="I54" s="2"/>
      <c r="J54" s="6">
        <f t="shared" si="1"/>
        <v>0</v>
      </c>
      <c r="K54" s="2"/>
      <c r="L54" s="2">
        <f t="shared" si="2"/>
        <v>336.14</v>
      </c>
      <c r="M54" s="2"/>
      <c r="N54" s="6">
        <f t="shared" si="3"/>
        <v>0.53782399999999997</v>
      </c>
      <c r="O54" s="14"/>
      <c r="P54" s="2">
        <f>SUM(OSRRefP22_8x_0)</f>
        <v>9065.82</v>
      </c>
      <c r="Q54" s="2"/>
      <c r="R54" s="6">
        <f t="shared" si="4"/>
        <v>0</v>
      </c>
      <c r="S54" s="2"/>
      <c r="T54" s="2">
        <f>SUM(OSRRefT22_8x_0)</f>
        <v>6875</v>
      </c>
      <c r="U54" s="2"/>
      <c r="V54" s="6">
        <f t="shared" si="5"/>
        <v>0</v>
      </c>
      <c r="W54" s="2"/>
      <c r="X54" s="2">
        <f t="shared" si="6"/>
        <v>2190.8199999999997</v>
      </c>
      <c r="Y54" s="2"/>
      <c r="Z54" s="6">
        <f t="shared" si="7"/>
        <v>0.31866472727272721</v>
      </c>
    </row>
    <row r="55" spans="1:26" s="70" customFormat="1" ht="15" hidden="1" customHeight="1" outlineLevel="2" x14ac:dyDescent="0.25">
      <c r="A55" s="25"/>
      <c r="B55" s="12" t="str">
        <f>CONCATENATE("          ","6281"," - ","STORAGE FEE")</f>
        <v xml:space="preserve">          6281 - STORAGE FEE</v>
      </c>
      <c r="C55" s="12"/>
      <c r="D55" s="8">
        <v>961.14</v>
      </c>
      <c r="E55" s="3"/>
      <c r="F55" s="7">
        <f t="shared" si="0"/>
        <v>0</v>
      </c>
      <c r="G55" s="3"/>
      <c r="H55" s="8">
        <v>625</v>
      </c>
      <c r="I55" s="3"/>
      <c r="J55" s="7">
        <f t="shared" si="1"/>
        <v>0</v>
      </c>
      <c r="K55" s="3"/>
      <c r="L55" s="8">
        <f t="shared" si="2"/>
        <v>336.14</v>
      </c>
      <c r="M55" s="3"/>
      <c r="N55" s="7">
        <f t="shared" si="3"/>
        <v>0.53782399999999997</v>
      </c>
      <c r="O55" s="12"/>
      <c r="P55" s="8">
        <v>9065.82</v>
      </c>
      <c r="Q55" s="3"/>
      <c r="R55" s="7">
        <f t="shared" si="4"/>
        <v>0</v>
      </c>
      <c r="S55" s="3"/>
      <c r="T55" s="8">
        <v>6875</v>
      </c>
      <c r="U55" s="3"/>
      <c r="V55" s="7">
        <f t="shared" si="5"/>
        <v>0</v>
      </c>
      <c r="W55" s="3"/>
      <c r="X55" s="8">
        <f t="shared" si="6"/>
        <v>2190.8199999999997</v>
      </c>
      <c r="Y55" s="3"/>
      <c r="Z55" s="7">
        <f t="shared" si="7"/>
        <v>0.31866472727272721</v>
      </c>
    </row>
    <row r="56" spans="1:26" s="69" customFormat="1" ht="15" customHeight="1" outlineLevel="1" collapsed="1" x14ac:dyDescent="0.25">
      <c r="A56" s="26"/>
      <c r="B56" s="14" t="str">
        <f>CONCATENATE("     ","Supplies                                          ")</f>
        <v xml:space="preserve">     Supplies                                          </v>
      </c>
      <c r="C56" s="14"/>
      <c r="D56" s="2">
        <f>SUM(OSRRefD22_9x_0)</f>
        <v>230.95000000000002</v>
      </c>
      <c r="E56" s="2"/>
      <c r="F56" s="6">
        <f t="shared" si="0"/>
        <v>0</v>
      </c>
      <c r="G56" s="2"/>
      <c r="H56" s="2">
        <f>SUM(OSRRefH22_9x_0)</f>
        <v>100</v>
      </c>
      <c r="I56" s="2"/>
      <c r="J56" s="6">
        <f t="shared" si="1"/>
        <v>0</v>
      </c>
      <c r="K56" s="2"/>
      <c r="L56" s="2">
        <f t="shared" si="2"/>
        <v>130.95000000000002</v>
      </c>
      <c r="M56" s="2"/>
      <c r="N56" s="6">
        <f t="shared" si="3"/>
        <v>1.3095000000000001</v>
      </c>
      <c r="O56" s="14"/>
      <c r="P56" s="2">
        <f>SUM(OSRRefP22_9x_0)</f>
        <v>4622.3099999999995</v>
      </c>
      <c r="Q56" s="2"/>
      <c r="R56" s="6">
        <f t="shared" si="4"/>
        <v>0</v>
      </c>
      <c r="S56" s="2"/>
      <c r="T56" s="2">
        <f>SUM(OSRRefT22_9x_0)</f>
        <v>1100</v>
      </c>
      <c r="U56" s="2"/>
      <c r="V56" s="6">
        <f t="shared" si="5"/>
        <v>0</v>
      </c>
      <c r="W56" s="2"/>
      <c r="X56" s="2">
        <f t="shared" si="6"/>
        <v>3522.3099999999995</v>
      </c>
      <c r="Y56" s="2"/>
      <c r="Z56" s="6">
        <f t="shared" si="7"/>
        <v>3.2020999999999997</v>
      </c>
    </row>
    <row r="57" spans="1:26" s="70" customFormat="1" ht="15" hidden="1" customHeight="1" outlineLevel="2" x14ac:dyDescent="0.25">
      <c r="A57" s="25"/>
      <c r="B57" s="12" t="str">
        <f>CONCATENATE("          ","6234"," - ","EXPENDABLE SUPPLIES &amp; EQUIPMEN")</f>
        <v xml:space="preserve">          6234 - EXPENDABLE SUPPLIES &amp; EQUIPMEN</v>
      </c>
      <c r="C57" s="12"/>
      <c r="D57" s="8">
        <v>171.99</v>
      </c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171.99</v>
      </c>
      <c r="M57" s="3"/>
      <c r="N57" s="7">
        <f t="shared" si="3"/>
        <v>0</v>
      </c>
      <c r="O57" s="12"/>
      <c r="P57" s="8">
        <v>2653.16</v>
      </c>
      <c r="Q57" s="3"/>
      <c r="R57" s="7">
        <f t="shared" si="4"/>
        <v>0</v>
      </c>
      <c r="S57" s="3"/>
      <c r="T57" s="8"/>
      <c r="U57" s="3"/>
      <c r="V57" s="7">
        <f t="shared" si="5"/>
        <v>0</v>
      </c>
      <c r="W57" s="3"/>
      <c r="X57" s="8">
        <f t="shared" si="6"/>
        <v>2653.16</v>
      </c>
      <c r="Y57" s="3"/>
      <c r="Z57" s="7">
        <f t="shared" si="7"/>
        <v>0</v>
      </c>
    </row>
    <row r="58" spans="1:26" s="70" customFormat="1" ht="15" hidden="1" customHeight="1" outlineLevel="2" x14ac:dyDescent="0.25">
      <c r="A58" s="25"/>
      <c r="B58" s="12" t="str">
        <f>CONCATENATE("          ","6241"," - ","OFFICE EXPENSE")</f>
        <v xml:space="preserve">          6241 - OFFICE EXPENSE</v>
      </c>
      <c r="C58" s="12"/>
      <c r="D58" s="8">
        <v>58.96</v>
      </c>
      <c r="E58" s="3"/>
      <c r="F58" s="7">
        <f t="shared" si="0"/>
        <v>0</v>
      </c>
      <c r="G58" s="3"/>
      <c r="H58" s="8">
        <v>100</v>
      </c>
      <c r="I58" s="3"/>
      <c r="J58" s="7">
        <f t="shared" si="1"/>
        <v>0</v>
      </c>
      <c r="K58" s="3"/>
      <c r="L58" s="8">
        <f t="shared" si="2"/>
        <v>-41.04</v>
      </c>
      <c r="M58" s="3"/>
      <c r="N58" s="7">
        <f t="shared" si="3"/>
        <v>-0.41039999999999999</v>
      </c>
      <c r="O58" s="12"/>
      <c r="P58" s="8">
        <v>1969.15</v>
      </c>
      <c r="Q58" s="3"/>
      <c r="R58" s="7">
        <f t="shared" si="4"/>
        <v>0</v>
      </c>
      <c r="S58" s="3"/>
      <c r="T58" s="8">
        <v>1100</v>
      </c>
      <c r="U58" s="3"/>
      <c r="V58" s="7">
        <f t="shared" si="5"/>
        <v>0</v>
      </c>
      <c r="W58" s="3"/>
      <c r="X58" s="8">
        <f t="shared" si="6"/>
        <v>869.15000000000009</v>
      </c>
      <c r="Y58" s="3"/>
      <c r="Z58" s="7">
        <f t="shared" si="7"/>
        <v>0.79013636363636375</v>
      </c>
    </row>
    <row r="59" spans="1:26" s="69" customFormat="1" ht="15" customHeight="1" outlineLevel="1" collapsed="1" x14ac:dyDescent="0.25">
      <c r="A59" s="26"/>
      <c r="B59" s="14" t="str">
        <f>CONCATENATE("     ","Telephone/Data Lines                              ")</f>
        <v xml:space="preserve">     Telephone/Data Lines                              </v>
      </c>
      <c r="C59" s="14"/>
      <c r="D59" s="2">
        <f>SUM(OSRRefD22_10x_0)</f>
        <v>291.14999999999998</v>
      </c>
      <c r="E59" s="2"/>
      <c r="F59" s="6">
        <f t="shared" si="0"/>
        <v>0</v>
      </c>
      <c r="G59" s="2"/>
      <c r="H59" s="2">
        <f>SUM(OSRRefH22_10x_0)</f>
        <v>400</v>
      </c>
      <c r="I59" s="2"/>
      <c r="J59" s="6">
        <f t="shared" si="1"/>
        <v>0</v>
      </c>
      <c r="K59" s="2"/>
      <c r="L59" s="2">
        <f t="shared" si="2"/>
        <v>-108.85000000000002</v>
      </c>
      <c r="M59" s="2"/>
      <c r="N59" s="6">
        <f t="shared" si="3"/>
        <v>-0.27212500000000006</v>
      </c>
      <c r="O59" s="14"/>
      <c r="P59" s="2">
        <f>SUM(OSRRefP22_10x_0)</f>
        <v>4383.42</v>
      </c>
      <c r="Q59" s="2"/>
      <c r="R59" s="6">
        <f t="shared" si="4"/>
        <v>0</v>
      </c>
      <c r="S59" s="2"/>
      <c r="T59" s="2">
        <f>SUM(OSRRefT22_10x_0)</f>
        <v>4400</v>
      </c>
      <c r="U59" s="2"/>
      <c r="V59" s="6">
        <f t="shared" si="5"/>
        <v>0</v>
      </c>
      <c r="W59" s="2"/>
      <c r="X59" s="2">
        <f t="shared" si="6"/>
        <v>-16.579999999999927</v>
      </c>
      <c r="Y59" s="2"/>
      <c r="Z59" s="6">
        <f t="shared" si="7"/>
        <v>-3.7681818181818016E-3</v>
      </c>
    </row>
    <row r="60" spans="1:26" s="70" customFormat="1" ht="15" hidden="1" customHeight="1" outlineLevel="2" x14ac:dyDescent="0.25">
      <c r="A60" s="25"/>
      <c r="B60" s="12" t="str">
        <f>CONCATENATE("          ","6309"," - ","TELEPHONE")</f>
        <v xml:space="preserve">          6309 - TELEPHONE</v>
      </c>
      <c r="C60" s="12"/>
      <c r="D60" s="8">
        <v>291.14999999999998</v>
      </c>
      <c r="E60" s="3"/>
      <c r="F60" s="7">
        <f t="shared" si="0"/>
        <v>0</v>
      </c>
      <c r="G60" s="3"/>
      <c r="H60" s="8">
        <v>400</v>
      </c>
      <c r="I60" s="3"/>
      <c r="J60" s="7">
        <f t="shared" si="1"/>
        <v>0</v>
      </c>
      <c r="K60" s="3"/>
      <c r="L60" s="8">
        <f t="shared" si="2"/>
        <v>-108.85000000000002</v>
      </c>
      <c r="M60" s="3"/>
      <c r="N60" s="7">
        <f t="shared" si="3"/>
        <v>-0.27212500000000006</v>
      </c>
      <c r="O60" s="12"/>
      <c r="P60" s="8">
        <v>4383.42</v>
      </c>
      <c r="Q60" s="3"/>
      <c r="R60" s="7">
        <f t="shared" si="4"/>
        <v>0</v>
      </c>
      <c r="S60" s="3"/>
      <c r="T60" s="8">
        <v>4400</v>
      </c>
      <c r="U60" s="3"/>
      <c r="V60" s="7">
        <f t="shared" si="5"/>
        <v>0</v>
      </c>
      <c r="W60" s="3"/>
      <c r="X60" s="8">
        <f t="shared" si="6"/>
        <v>-16.579999999999927</v>
      </c>
      <c r="Y60" s="3"/>
      <c r="Z60" s="7">
        <f t="shared" si="7"/>
        <v>-3.7681818181818016E-3</v>
      </c>
    </row>
    <row r="61" spans="1:26" s="69" customFormat="1" ht="15" customHeight="1" outlineLevel="1" collapsed="1" x14ac:dyDescent="0.25">
      <c r="A61" s="26"/>
      <c r="B61" s="14" t="str">
        <f>CONCATENATE("     ","Training                                          ")</f>
        <v xml:space="preserve">     Training                                          </v>
      </c>
      <c r="C61" s="14"/>
      <c r="D61" s="2">
        <f>SUM(OSRRefD22_11x_0)</f>
        <v>0</v>
      </c>
      <c r="E61" s="2"/>
      <c r="F61" s="6">
        <f t="shared" si="0"/>
        <v>0</v>
      </c>
      <c r="G61" s="2"/>
      <c r="H61" s="2">
        <f>SUM(OSRRefH22_11x_0)</f>
        <v>0</v>
      </c>
      <c r="I61" s="2"/>
      <c r="J61" s="6">
        <f t="shared" si="1"/>
        <v>0</v>
      </c>
      <c r="K61" s="2"/>
      <c r="L61" s="2">
        <f t="shared" si="2"/>
        <v>0</v>
      </c>
      <c r="M61" s="2"/>
      <c r="N61" s="6">
        <f t="shared" si="3"/>
        <v>0</v>
      </c>
      <c r="O61" s="14"/>
      <c r="P61" s="2">
        <f>SUM(OSRRefP22_11x_0)</f>
        <v>595</v>
      </c>
      <c r="Q61" s="2"/>
      <c r="R61" s="6">
        <f t="shared" si="4"/>
        <v>0</v>
      </c>
      <c r="S61" s="2"/>
      <c r="T61" s="2">
        <f>SUM(OSRRefT22_11x_0)</f>
        <v>3000</v>
      </c>
      <c r="U61" s="2"/>
      <c r="V61" s="6">
        <f t="shared" si="5"/>
        <v>0</v>
      </c>
      <c r="W61" s="2"/>
      <c r="X61" s="2">
        <f t="shared" si="6"/>
        <v>-2405</v>
      </c>
      <c r="Y61" s="2"/>
      <c r="Z61" s="6">
        <f t="shared" si="7"/>
        <v>-0.80166666666666664</v>
      </c>
    </row>
    <row r="62" spans="1:26" s="70" customFormat="1" ht="15" hidden="1" customHeight="1" outlineLevel="2" x14ac:dyDescent="0.25">
      <c r="A62" s="25"/>
      <c r="B62" s="12" t="str">
        <f>CONCATENATE("          ","6376"," - ","TRAINING")</f>
        <v xml:space="preserve">          6376 - TRAINING</v>
      </c>
      <c r="C62" s="12"/>
      <c r="D62" s="8"/>
      <c r="E62" s="3"/>
      <c r="F62" s="7">
        <f t="shared" si="0"/>
        <v>0</v>
      </c>
      <c r="G62" s="3"/>
      <c r="H62" s="8"/>
      <c r="I62" s="3"/>
      <c r="J62" s="7">
        <f t="shared" si="1"/>
        <v>0</v>
      </c>
      <c r="K62" s="3"/>
      <c r="L62" s="8">
        <f t="shared" si="2"/>
        <v>0</v>
      </c>
      <c r="M62" s="3"/>
      <c r="N62" s="7">
        <f t="shared" si="3"/>
        <v>0</v>
      </c>
      <c r="O62" s="12"/>
      <c r="P62" s="8">
        <v>595</v>
      </c>
      <c r="Q62" s="3"/>
      <c r="R62" s="7">
        <f t="shared" si="4"/>
        <v>0</v>
      </c>
      <c r="S62" s="3"/>
      <c r="T62" s="8">
        <v>3000</v>
      </c>
      <c r="U62" s="3"/>
      <c r="V62" s="7">
        <f t="shared" si="5"/>
        <v>0</v>
      </c>
      <c r="W62" s="3"/>
      <c r="X62" s="8">
        <f t="shared" si="6"/>
        <v>-2405</v>
      </c>
      <c r="Y62" s="3"/>
      <c r="Z62" s="7">
        <f t="shared" si="7"/>
        <v>-0.80166666666666664</v>
      </c>
    </row>
    <row r="63" spans="1:26" s="69" customFormat="1" ht="15" customHeight="1" outlineLevel="1" collapsed="1" x14ac:dyDescent="0.25">
      <c r="A63" s="26"/>
      <c r="B63" s="14" t="str">
        <f>CONCATENATE("     ","Travel                                            ")</f>
        <v xml:space="preserve">     Travel                                            </v>
      </c>
      <c r="C63" s="14"/>
      <c r="D63" s="2">
        <f>SUM(OSRRefD22_12x_0)</f>
        <v>0</v>
      </c>
      <c r="E63" s="2"/>
      <c r="F63" s="6">
        <f t="shared" si="0"/>
        <v>0</v>
      </c>
      <c r="G63" s="2"/>
      <c r="H63" s="2">
        <f>SUM(OSRRefH22_12x_0)</f>
        <v>0</v>
      </c>
      <c r="I63" s="2"/>
      <c r="J63" s="6">
        <f t="shared" si="1"/>
        <v>0</v>
      </c>
      <c r="K63" s="2"/>
      <c r="L63" s="2">
        <f t="shared" si="2"/>
        <v>0</v>
      </c>
      <c r="M63" s="2"/>
      <c r="N63" s="6">
        <f t="shared" si="3"/>
        <v>0</v>
      </c>
      <c r="O63" s="14"/>
      <c r="P63" s="2">
        <f>SUM(OSRRefP22_12x_0)</f>
        <v>30.4</v>
      </c>
      <c r="Q63" s="2"/>
      <c r="R63" s="6">
        <f t="shared" si="4"/>
        <v>0</v>
      </c>
      <c r="S63" s="2"/>
      <c r="T63" s="2">
        <f>SUM(OSRRefT22_12x_0)</f>
        <v>0</v>
      </c>
      <c r="U63" s="2"/>
      <c r="V63" s="6">
        <f t="shared" si="5"/>
        <v>0</v>
      </c>
      <c r="W63" s="2"/>
      <c r="X63" s="2">
        <f t="shared" si="6"/>
        <v>30.4</v>
      </c>
      <c r="Y63" s="2"/>
      <c r="Z63" s="6">
        <f t="shared" si="7"/>
        <v>0</v>
      </c>
    </row>
    <row r="64" spans="1:26" s="70" customFormat="1" ht="15" hidden="1" customHeight="1" outlineLevel="2" x14ac:dyDescent="0.25">
      <c r="A64" s="25"/>
      <c r="B64" s="12" t="str">
        <f>CONCATENATE("          ","6294"," - ","TRAVEL OPERATIONAL")</f>
        <v xml:space="preserve">          6294 - TRAVEL OPERATIONAL</v>
      </c>
      <c r="C64" s="12"/>
      <c r="D64" s="8"/>
      <c r="E64" s="3"/>
      <c r="F64" s="7">
        <f t="shared" si="0"/>
        <v>0</v>
      </c>
      <c r="G64" s="3"/>
      <c r="H64" s="8"/>
      <c r="I64" s="3"/>
      <c r="J64" s="7">
        <f t="shared" si="1"/>
        <v>0</v>
      </c>
      <c r="K64" s="3"/>
      <c r="L64" s="8">
        <f t="shared" si="2"/>
        <v>0</v>
      </c>
      <c r="M64" s="3"/>
      <c r="N64" s="7">
        <f t="shared" si="3"/>
        <v>0</v>
      </c>
      <c r="O64" s="12"/>
      <c r="P64" s="8">
        <v>30.4</v>
      </c>
      <c r="Q64" s="3"/>
      <c r="R64" s="7">
        <f t="shared" si="4"/>
        <v>0</v>
      </c>
      <c r="S64" s="3"/>
      <c r="T64" s="8"/>
      <c r="U64" s="3"/>
      <c r="V64" s="7">
        <f t="shared" si="5"/>
        <v>0</v>
      </c>
      <c r="W64" s="3"/>
      <c r="X64" s="8">
        <f t="shared" si="6"/>
        <v>30.4</v>
      </c>
      <c r="Y64" s="3"/>
      <c r="Z64" s="7">
        <f t="shared" si="7"/>
        <v>0</v>
      </c>
    </row>
    <row r="65" spans="1:26" s="65" customFormat="1" ht="15" customHeight="1" x14ac:dyDescent="0.25">
      <c r="A65" s="35"/>
      <c r="B65" s="35"/>
      <c r="C65" s="35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25">
      <c r="A66" s="11"/>
      <c r="B66" s="27" t="s">
        <v>291</v>
      </c>
      <c r="C66" s="11"/>
      <c r="D66" s="5">
        <f>SUM(0)</f>
        <v>0</v>
      </c>
      <c r="E66" s="5"/>
      <c r="F66" s="13">
        <f>IF(D$12=0,0,D66/D$12)</f>
        <v>0</v>
      </c>
      <c r="G66" s="5"/>
      <c r="H66" s="5">
        <f>SUM(0)</f>
        <v>0</v>
      </c>
      <c r="I66" s="5"/>
      <c r="J66" s="13">
        <f>IF(H$12=0,0,H66/H$12)</f>
        <v>0</v>
      </c>
      <c r="K66" s="5"/>
      <c r="L66" s="5">
        <f>+D66-H66</f>
        <v>0</v>
      </c>
      <c r="M66" s="5"/>
      <c r="N66" s="13">
        <f>IF(H66=0,0,L66/H66)</f>
        <v>0</v>
      </c>
      <c r="O66" s="11"/>
      <c r="P66" s="5">
        <f>SUM(0)</f>
        <v>0</v>
      </c>
      <c r="Q66" s="5"/>
      <c r="R66" s="13">
        <f>IF(P$12=0,0,P66/P$12)</f>
        <v>0</v>
      </c>
      <c r="S66" s="5"/>
      <c r="T66" s="5">
        <f>SUM(0)</f>
        <v>0</v>
      </c>
      <c r="U66" s="5"/>
      <c r="V66" s="13">
        <f>IF(T$12=0,0,T66/T$12)</f>
        <v>0</v>
      </c>
      <c r="W66" s="5"/>
      <c r="X66" s="5">
        <f>+P66-T66</f>
        <v>0</v>
      </c>
      <c r="Y66" s="5"/>
      <c r="Z66" s="13">
        <f>IF(T66=0,0,X66/T66)</f>
        <v>0</v>
      </c>
    </row>
    <row r="67" spans="1:26" ht="15" customHeight="1" x14ac:dyDescent="0.25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3" customFormat="1" ht="15" customHeight="1" x14ac:dyDescent="0.25">
      <c r="A68" s="11"/>
      <c r="B68" s="28" t="s">
        <v>292</v>
      </c>
      <c r="C68" s="28"/>
      <c r="D68" s="22">
        <f>+D16-D18+D66</f>
        <v>-34350.779999999992</v>
      </c>
      <c r="E68" s="15"/>
      <c r="F68" s="21">
        <f>IF(D$12=0,0,D68/D$12)</f>
        <v>0</v>
      </c>
      <c r="G68" s="15"/>
      <c r="H68" s="22">
        <f>+H16-H18+H66</f>
        <v>-36641.142056307675</v>
      </c>
      <c r="I68" s="15"/>
      <c r="J68" s="21">
        <f>IF(H$12=0,0,H68/H$12)</f>
        <v>0</v>
      </c>
      <c r="K68" s="16"/>
      <c r="L68" s="22">
        <f>+D68-H68</f>
        <v>2290.3620563076838</v>
      </c>
      <c r="M68" s="16"/>
      <c r="N68" s="21">
        <f>IF(H68=0,0,L68/H68)</f>
        <v>-6.2507933098482779E-2</v>
      </c>
      <c r="O68" s="27"/>
      <c r="P68" s="22">
        <f>+P16-P18+P66</f>
        <v>-484393.08000000007</v>
      </c>
      <c r="Q68" s="15"/>
      <c r="R68" s="21">
        <f>IF(P$12=0,0,P68/P$12)</f>
        <v>0</v>
      </c>
      <c r="S68" s="15"/>
      <c r="T68" s="22">
        <f>+T16-T18+T66</f>
        <v>-473355.37176369177</v>
      </c>
      <c r="U68" s="15"/>
      <c r="V68" s="21">
        <f>IF(T$12=0,0,T68/T$12)</f>
        <v>0</v>
      </c>
      <c r="W68" s="16"/>
      <c r="X68" s="22">
        <f>+P68-T68</f>
        <v>-11037.708236308303</v>
      </c>
      <c r="Y68" s="16"/>
      <c r="Z68" s="21">
        <f>IF(T68=0,0,X68/T68)</f>
        <v>2.3318016219362865E-2</v>
      </c>
    </row>
    <row r="69" spans="1:26" ht="15" customHeight="1" x14ac:dyDescent="0.25">
      <c r="A69" s="10"/>
      <c r="B69" s="11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3" customFormat="1" ht="15" customHeight="1" x14ac:dyDescent="0.25">
      <c r="A70" s="49"/>
      <c r="B70" s="11" t="s">
        <v>293</v>
      </c>
      <c r="C70" s="11"/>
      <c r="D70" s="5"/>
      <c r="E70" s="5"/>
      <c r="F70" s="13">
        <f>IF(D$12=0,0,D70/D$12)</f>
        <v>0</v>
      </c>
      <c r="G70" s="5"/>
      <c r="H70" s="5"/>
      <c r="I70" s="5"/>
      <c r="J70" s="13">
        <f>IF(H$12=0,0,H70/H$12)</f>
        <v>0</v>
      </c>
      <c r="K70" s="5"/>
      <c r="L70" s="5">
        <f>+D70-H70</f>
        <v>0</v>
      </c>
      <c r="M70" s="5"/>
      <c r="N70" s="13">
        <f>IF(H70=0,0,L70/H70)</f>
        <v>0</v>
      </c>
      <c r="O70" s="11"/>
      <c r="P70" s="5"/>
      <c r="Q70" s="5"/>
      <c r="R70" s="13">
        <f>IF(P$12=0,0,P70/P$12)</f>
        <v>0</v>
      </c>
      <c r="S70" s="5"/>
      <c r="T70" s="5"/>
      <c r="U70" s="5"/>
      <c r="V70" s="13">
        <f>IF(T$12=0,0,T70/T$12)</f>
        <v>0</v>
      </c>
      <c r="W70" s="5"/>
      <c r="X70" s="5">
        <f>+P70-T70</f>
        <v>0</v>
      </c>
      <c r="Y70" s="5"/>
      <c r="Z70" s="13">
        <f>IF(T70=0,0,X70/T70)</f>
        <v>0</v>
      </c>
    </row>
    <row r="71" spans="1:26" ht="15" customHeight="1" x14ac:dyDescent="0.25">
      <c r="A71" s="10"/>
      <c r="B71" s="11"/>
      <c r="C71" s="11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O71" s="11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3" customFormat="1" ht="15" customHeight="1" x14ac:dyDescent="0.25">
      <c r="A72" s="11"/>
      <c r="B72" s="28" t="s">
        <v>294</v>
      </c>
      <c r="C72" s="28"/>
      <c r="D72" s="34">
        <f>+D68-D70</f>
        <v>-34350.779999999992</v>
      </c>
      <c r="E72" s="15"/>
      <c r="F72" s="32">
        <f>IF(D$12=0,0,D72/D$12)</f>
        <v>0</v>
      </c>
      <c r="G72" s="15"/>
      <c r="H72" s="34">
        <f>+H68-H70</f>
        <v>-36641.142056307675</v>
      </c>
      <c r="I72" s="15"/>
      <c r="J72" s="32">
        <f>IF(H$12=0,0,H72/H$12)</f>
        <v>0</v>
      </c>
      <c r="K72" s="16"/>
      <c r="L72" s="34">
        <f>D72-H72</f>
        <v>2290.3620563076838</v>
      </c>
      <c r="M72" s="16"/>
      <c r="N72" s="32">
        <f>IF(H72=0,0,L72/H72)</f>
        <v>-6.2507933098482779E-2</v>
      </c>
      <c r="O72" s="27"/>
      <c r="P72" s="34">
        <f>+P68-P70</f>
        <v>-484393.08000000007</v>
      </c>
      <c r="Q72" s="15"/>
      <c r="R72" s="32">
        <f>IF(P$12=0,0,P72/P$12)</f>
        <v>0</v>
      </c>
      <c r="S72" s="15"/>
      <c r="T72" s="34">
        <f>+T68-T70</f>
        <v>-473355.37176369177</v>
      </c>
      <c r="U72" s="15"/>
      <c r="V72" s="32">
        <f>IF(T$12=0,0,T72/T$12)</f>
        <v>0</v>
      </c>
      <c r="W72" s="16"/>
      <c r="X72" s="34">
        <f>P72-T72</f>
        <v>-11037.708236308303</v>
      </c>
      <c r="Y72" s="16"/>
      <c r="Z72" s="32">
        <f>IF(T72=0,0,X72/T72)</f>
        <v>2.3318016219362865E-2</v>
      </c>
    </row>
    <row r="73" spans="1:26" ht="15" customHeight="1" x14ac:dyDescent="0.25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ht="15" customHeight="1" x14ac:dyDescent="0.25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25">
      <c r="A75" s="11"/>
      <c r="B75" s="28" t="s">
        <v>297</v>
      </c>
      <c r="C75" s="28"/>
      <c r="D75" s="30">
        <f>SUM(D72:D74)</f>
        <v>-34350.779999999992</v>
      </c>
      <c r="E75" s="15"/>
      <c r="F75" s="33">
        <f>IF(D$12=0,0,D75/D$12)</f>
        <v>0</v>
      </c>
      <c r="G75" s="15"/>
      <c r="H75" s="30">
        <f>SUM(H72:H74)</f>
        <v>-36641.142056307675</v>
      </c>
      <c r="I75" s="15"/>
      <c r="J75" s="33">
        <f>IF(H$12=0,0,H75/H$12)</f>
        <v>0</v>
      </c>
      <c r="K75" s="16"/>
      <c r="L75" s="30">
        <f>+D75-H75</f>
        <v>2290.3620563076838</v>
      </c>
      <c r="M75" s="16"/>
      <c r="N75" s="33">
        <f>IF(H75=0,0,L75/H75)</f>
        <v>-6.2507933098482779E-2</v>
      </c>
      <c r="O75" s="27"/>
      <c r="P75" s="30">
        <f>SUM(P72:P74)</f>
        <v>-484393.08000000007</v>
      </c>
      <c r="Q75" s="15"/>
      <c r="R75" s="33">
        <f>IF(P$12=0,0,P75/P$12)</f>
        <v>0</v>
      </c>
      <c r="S75" s="15"/>
      <c r="T75" s="30">
        <f>SUM(T72:T74)</f>
        <v>-473355.37176369177</v>
      </c>
      <c r="U75" s="15"/>
      <c r="V75" s="33">
        <f>IF(T$12=0,0,T75/T$12)</f>
        <v>0</v>
      </c>
      <c r="W75" s="16"/>
      <c r="X75" s="30">
        <f>+P75-T75</f>
        <v>-11037.708236308303</v>
      </c>
      <c r="Y75" s="16"/>
      <c r="Z75" s="33">
        <f>IF(T75=0,0,X75/T75)</f>
        <v>2.3318016219362865E-2</v>
      </c>
    </row>
    <row r="76" spans="1:26" ht="15" customHeight="1" x14ac:dyDescent="0.25">
      <c r="A76" s="10"/>
      <c r="C76" s="10"/>
      <c r="D76" s="18"/>
      <c r="E76" s="18"/>
      <c r="G76" s="18"/>
      <c r="H76" s="18"/>
      <c r="I76" s="18"/>
      <c r="J76" s="40"/>
      <c r="K76" s="18"/>
      <c r="L76" s="18"/>
      <c r="M76" s="18"/>
      <c r="P76" s="18"/>
      <c r="Q76" s="18"/>
      <c r="R76" s="40"/>
      <c r="S76" s="18"/>
      <c r="T76" s="18"/>
      <c r="U76" s="18"/>
      <c r="V76" s="40"/>
      <c r="W76" s="18"/>
      <c r="X76" s="18"/>
    </row>
    <row r="77" spans="1:26" ht="15" customHeight="1" x14ac:dyDescent="0.25">
      <c r="A77" s="10"/>
      <c r="B77" s="54">
        <v>44727.874527581022</v>
      </c>
      <c r="D77" s="18"/>
      <c r="E77" s="18"/>
      <c r="G77" s="18"/>
      <c r="H77" s="18"/>
      <c r="I77" s="18"/>
      <c r="J77" s="40"/>
      <c r="K77" s="18"/>
      <c r="L77" s="18"/>
      <c r="M77" s="18"/>
      <c r="P77" s="18"/>
      <c r="Q77" s="18"/>
      <c r="R77" s="40"/>
      <c r="S77" s="18"/>
      <c r="T77" s="18"/>
      <c r="U77" s="18"/>
      <c r="V77" s="40"/>
      <c r="W77" s="18"/>
      <c r="X77" s="18"/>
    </row>
    <row r="78" spans="1:26" ht="15" customHeight="1" x14ac:dyDescent="0.25">
      <c r="A78" s="10"/>
      <c r="B78" s="50" t="s">
        <v>298</v>
      </c>
      <c r="D78" s="18"/>
      <c r="E78" s="18"/>
      <c r="G78" s="18"/>
      <c r="H78" s="18"/>
      <c r="I78" s="18"/>
      <c r="J78" s="40"/>
      <c r="K78" s="18"/>
      <c r="L78" s="18"/>
      <c r="M78" s="18"/>
      <c r="P78" s="18"/>
      <c r="Q78" s="18"/>
      <c r="R78" s="40"/>
      <c r="S78" s="18"/>
      <c r="T78" s="18"/>
      <c r="U78" s="18"/>
      <c r="V78" s="40"/>
      <c r="W78" s="18"/>
      <c r="X78" s="18"/>
    </row>
    <row r="79" spans="1:26" ht="15" customHeight="1" x14ac:dyDescent="0.25">
      <c r="A79" s="10"/>
      <c r="B79" s="58"/>
      <c r="D79" s="18"/>
      <c r="E79" s="18"/>
      <c r="G79" s="18"/>
      <c r="H79" s="18"/>
      <c r="I79" s="18"/>
      <c r="J79" s="40"/>
      <c r="K79" s="18"/>
      <c r="L79" s="18"/>
      <c r="M79" s="18"/>
      <c r="P79" s="18"/>
      <c r="Q79" s="18"/>
      <c r="R79" s="40"/>
      <c r="S79" s="18"/>
      <c r="T79" s="18"/>
      <c r="U79" s="18"/>
      <c r="V79" s="40"/>
      <c r="W79" s="18"/>
      <c r="X79" s="18"/>
    </row>
    <row r="80" spans="1:26" ht="15" customHeight="1" x14ac:dyDescent="0.25">
      <c r="D80" s="18"/>
      <c r="E80" s="18"/>
      <c r="G80" s="18"/>
      <c r="H80" s="18"/>
      <c r="I80" s="18"/>
      <c r="J80" s="40"/>
      <c r="K80" s="18"/>
      <c r="L80" s="18"/>
      <c r="M80" s="18"/>
      <c r="P80" s="18"/>
      <c r="Q80" s="18"/>
      <c r="R80" s="40"/>
      <c r="S80" s="18"/>
      <c r="T80" s="18"/>
      <c r="U80" s="18"/>
      <c r="V80" s="40"/>
      <c r="W80" s="18"/>
      <c r="X8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98D26-AAC2-720B-6489-993E023D0CAB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","203"," - ","Human Resources")</f>
        <v>Department 203 - Human Resources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59203.969999999994</v>
      </c>
      <c r="E18" s="23"/>
      <c r="F18" s="31">
        <f t="shared" ref="F18:F49" si="0">IF(D$12=0,0,D18/D$12)</f>
        <v>0</v>
      </c>
      <c r="G18" s="23"/>
      <c r="H18" s="23" cm="1">
        <f t="array" ref="H18">SUM(OSRRefH22x_0)</f>
        <v>58934.26516968615</v>
      </c>
      <c r="I18" s="23"/>
      <c r="J18" s="31">
        <f t="shared" ref="J18:J49" si="1">IF(H$12=0,0,H18/H$12)</f>
        <v>0</v>
      </c>
      <c r="K18" s="5"/>
      <c r="L18" s="23">
        <f t="shared" ref="L18:L49" si="2">+D18-H18</f>
        <v>269.70483031384356</v>
      </c>
      <c r="M18" s="5"/>
      <c r="N18" s="31">
        <f t="shared" ref="N18:N49" si="3">IF(H18=0,0,L18/H18)</f>
        <v>4.5763670682462477E-3</v>
      </c>
      <c r="O18" s="11"/>
      <c r="P18" s="23" cm="1">
        <f t="array" ref="P18">SUM(OSRRefP22x_0)</f>
        <v>627423.51</v>
      </c>
      <c r="Q18" s="23"/>
      <c r="R18" s="31">
        <f t="shared" ref="R18:R49" si="4">IF(P$12=0,0,P18/P$12)</f>
        <v>0</v>
      </c>
      <c r="S18" s="23"/>
      <c r="T18" s="23" cm="1">
        <f t="array" ref="T18">SUM(OSRRefT22x_0)</f>
        <v>556231.18203623383</v>
      </c>
      <c r="U18" s="23"/>
      <c r="V18" s="31">
        <f t="shared" ref="V18:V49" si="5">IF(T$12=0,0,T18/T$12)</f>
        <v>0</v>
      </c>
      <c r="W18" s="5"/>
      <c r="X18" s="23">
        <f t="shared" ref="X18:X49" si="6">+P18-T18</f>
        <v>71192.327963766176</v>
      </c>
      <c r="Y18" s="5"/>
      <c r="Z18" s="31">
        <f t="shared" ref="Z18:Z49" si="7">IF(T18=0,0,X18/T18)</f>
        <v>0.12799053750123737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14068.040000000003</v>
      </c>
      <c r="E19" s="2"/>
      <c r="F19" s="6">
        <f t="shared" si="0"/>
        <v>0</v>
      </c>
      <c r="G19" s="2"/>
      <c r="H19" s="2">
        <f>SUM(OSRRefH22_0x_0)</f>
        <v>11218.47940968615</v>
      </c>
      <c r="I19" s="2"/>
      <c r="J19" s="6">
        <f t="shared" si="1"/>
        <v>0</v>
      </c>
      <c r="K19" s="2"/>
      <c r="L19" s="2">
        <f t="shared" si="2"/>
        <v>2849.560590313853</v>
      </c>
      <c r="M19" s="2"/>
      <c r="N19" s="6">
        <f t="shared" si="3"/>
        <v>0.25400595626654299</v>
      </c>
      <c r="O19" s="14"/>
      <c r="P19" s="2">
        <f>SUM(OSRRefP22_0x_0)</f>
        <v>173517.68999999997</v>
      </c>
      <c r="Q19" s="2"/>
      <c r="R19" s="6">
        <f t="shared" si="4"/>
        <v>0</v>
      </c>
      <c r="S19" s="2"/>
      <c r="T19" s="2">
        <f>SUM(OSRRefT22_0x_0)</f>
        <v>131527.75291623382</v>
      </c>
      <c r="U19" s="2"/>
      <c r="V19" s="6">
        <f t="shared" si="5"/>
        <v>0</v>
      </c>
      <c r="W19" s="2"/>
      <c r="X19" s="2">
        <f t="shared" si="6"/>
        <v>41989.937083766155</v>
      </c>
      <c r="Y19" s="2"/>
      <c r="Z19" s="6">
        <f t="shared" si="7"/>
        <v>0.31924773405433543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2283.9299999999998</v>
      </c>
      <c r="E20" s="3"/>
      <c r="F20" s="7">
        <f t="shared" si="0"/>
        <v>0</v>
      </c>
      <c r="G20" s="3"/>
      <c r="H20" s="8">
        <v>1560.2483342400001</v>
      </c>
      <c r="I20" s="3"/>
      <c r="J20" s="7">
        <f t="shared" si="1"/>
        <v>0</v>
      </c>
      <c r="K20" s="3"/>
      <c r="L20" s="8">
        <f t="shared" si="2"/>
        <v>723.68166575999976</v>
      </c>
      <c r="M20" s="3"/>
      <c r="N20" s="7">
        <f t="shared" si="3"/>
        <v>0.46382466808561373</v>
      </c>
      <c r="O20" s="12"/>
      <c r="P20" s="8">
        <v>26655.86</v>
      </c>
      <c r="Q20" s="3"/>
      <c r="R20" s="7">
        <f t="shared" si="4"/>
        <v>0</v>
      </c>
      <c r="S20" s="3"/>
      <c r="T20" s="8">
        <v>18722.980010880001</v>
      </c>
      <c r="U20" s="3"/>
      <c r="V20" s="7">
        <f t="shared" si="5"/>
        <v>0</v>
      </c>
      <c r="W20" s="3"/>
      <c r="X20" s="8">
        <f t="shared" si="6"/>
        <v>7932.8799891199997</v>
      </c>
      <c r="Y20" s="3"/>
      <c r="Z20" s="7">
        <f t="shared" si="7"/>
        <v>0.42369750886398266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576.95000000000005</v>
      </c>
      <c r="E21" s="3"/>
      <c r="F21" s="7">
        <f t="shared" si="0"/>
        <v>0</v>
      </c>
      <c r="G21" s="3"/>
      <c r="H21" s="8">
        <v>81.800964800000003</v>
      </c>
      <c r="I21" s="3"/>
      <c r="J21" s="7">
        <f t="shared" si="1"/>
        <v>0</v>
      </c>
      <c r="K21" s="3"/>
      <c r="L21" s="8">
        <f t="shared" si="2"/>
        <v>495.14903520000007</v>
      </c>
      <c r="M21" s="3"/>
      <c r="N21" s="7">
        <f t="shared" si="3"/>
        <v>6.0530952955215032</v>
      </c>
      <c r="O21" s="12"/>
      <c r="P21" s="8">
        <v>4466.4799999999996</v>
      </c>
      <c r="Q21" s="3"/>
      <c r="R21" s="7">
        <f t="shared" si="4"/>
        <v>0</v>
      </c>
      <c r="S21" s="3"/>
      <c r="T21" s="8">
        <v>981.61157760000003</v>
      </c>
      <c r="U21" s="3"/>
      <c r="V21" s="7">
        <f t="shared" si="5"/>
        <v>0</v>
      </c>
      <c r="W21" s="3"/>
      <c r="X21" s="8">
        <f t="shared" si="6"/>
        <v>3484.8684223999994</v>
      </c>
      <c r="Y21" s="3"/>
      <c r="Z21" s="7">
        <f t="shared" si="7"/>
        <v>3.5501500816854255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5574.36</v>
      </c>
      <c r="E22" s="3"/>
      <c r="F22" s="7">
        <f t="shared" si="0"/>
        <v>0</v>
      </c>
      <c r="G22" s="3"/>
      <c r="H22" s="8">
        <v>6238.8461538461497</v>
      </c>
      <c r="I22" s="3"/>
      <c r="J22" s="7">
        <f t="shared" si="1"/>
        <v>0</v>
      </c>
      <c r="K22" s="3"/>
      <c r="L22" s="8">
        <f t="shared" si="2"/>
        <v>-664.48615384615005</v>
      </c>
      <c r="M22" s="3"/>
      <c r="N22" s="7">
        <f t="shared" si="3"/>
        <v>-0.106507860181246</v>
      </c>
      <c r="O22" s="12"/>
      <c r="P22" s="8">
        <v>64199.19</v>
      </c>
      <c r="Q22" s="3"/>
      <c r="R22" s="7">
        <f t="shared" si="4"/>
        <v>0</v>
      </c>
      <c r="S22" s="3"/>
      <c r="T22" s="8">
        <v>72889.1538461538</v>
      </c>
      <c r="U22" s="3"/>
      <c r="V22" s="7">
        <f t="shared" si="5"/>
        <v>0</v>
      </c>
      <c r="W22" s="3"/>
      <c r="X22" s="8">
        <f t="shared" si="6"/>
        <v>-8689.9638461537979</v>
      </c>
      <c r="Y22" s="3"/>
      <c r="Z22" s="7">
        <f t="shared" si="7"/>
        <v>-0.11922163158177955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116.28</v>
      </c>
      <c r="E23" s="3"/>
      <c r="F23" s="7">
        <f t="shared" si="0"/>
        <v>0</v>
      </c>
      <c r="G23" s="3"/>
      <c r="H23" s="8">
        <v>55.413556800000002</v>
      </c>
      <c r="I23" s="3"/>
      <c r="J23" s="7">
        <f t="shared" si="1"/>
        <v>0</v>
      </c>
      <c r="K23" s="3"/>
      <c r="L23" s="8">
        <f t="shared" si="2"/>
        <v>60.866443199999999</v>
      </c>
      <c r="M23" s="3"/>
      <c r="N23" s="7">
        <f t="shared" si="3"/>
        <v>1.0984034722708866</v>
      </c>
      <c r="O23" s="12"/>
      <c r="P23" s="8">
        <v>900.22</v>
      </c>
      <c r="Q23" s="3"/>
      <c r="R23" s="7">
        <f t="shared" si="4"/>
        <v>0</v>
      </c>
      <c r="S23" s="3"/>
      <c r="T23" s="8">
        <v>664.9626816</v>
      </c>
      <c r="U23" s="3"/>
      <c r="V23" s="7">
        <f t="shared" si="5"/>
        <v>0</v>
      </c>
      <c r="W23" s="3"/>
      <c r="X23" s="8">
        <f t="shared" si="6"/>
        <v>235.25731840000003</v>
      </c>
      <c r="Y23" s="3"/>
      <c r="Z23" s="7">
        <f t="shared" si="7"/>
        <v>0.35379025757345606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1287.54</v>
      </c>
      <c r="E24" s="3"/>
      <c r="F24" s="7">
        <f t="shared" si="0"/>
        <v>0</v>
      </c>
      <c r="G24" s="3"/>
      <c r="H24" s="8">
        <v>885.8</v>
      </c>
      <c r="I24" s="3"/>
      <c r="J24" s="7">
        <f t="shared" si="1"/>
        <v>0</v>
      </c>
      <c r="K24" s="3"/>
      <c r="L24" s="8">
        <f t="shared" si="2"/>
        <v>401.74</v>
      </c>
      <c r="M24" s="3"/>
      <c r="N24" s="7">
        <f t="shared" si="3"/>
        <v>0.45353352901332133</v>
      </c>
      <c r="O24" s="12"/>
      <c r="P24" s="8">
        <v>15163.27</v>
      </c>
      <c r="Q24" s="3"/>
      <c r="R24" s="7">
        <f t="shared" si="4"/>
        <v>0</v>
      </c>
      <c r="S24" s="3"/>
      <c r="T24" s="8">
        <v>10629.6</v>
      </c>
      <c r="U24" s="3"/>
      <c r="V24" s="7">
        <f t="shared" si="5"/>
        <v>0</v>
      </c>
      <c r="W24" s="3"/>
      <c r="X24" s="8">
        <f t="shared" si="6"/>
        <v>4533.67</v>
      </c>
      <c r="Y24" s="3"/>
      <c r="Z24" s="7">
        <f t="shared" si="7"/>
        <v>0.42651369759915708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417</v>
      </c>
      <c r="I25" s="3"/>
      <c r="J25" s="7">
        <f t="shared" si="1"/>
        <v>0</v>
      </c>
      <c r="K25" s="3"/>
      <c r="L25" s="8">
        <f t="shared" si="2"/>
        <v>-417</v>
      </c>
      <c r="M25" s="3"/>
      <c r="N25" s="7">
        <f t="shared" si="3"/>
        <v>-1</v>
      </c>
      <c r="O25" s="12"/>
      <c r="P25" s="8">
        <v>4855</v>
      </c>
      <c r="Q25" s="3"/>
      <c r="R25" s="7">
        <f t="shared" si="4"/>
        <v>0</v>
      </c>
      <c r="S25" s="3"/>
      <c r="T25" s="8">
        <v>4587</v>
      </c>
      <c r="U25" s="3"/>
      <c r="V25" s="7">
        <f t="shared" si="5"/>
        <v>0</v>
      </c>
      <c r="W25" s="3"/>
      <c r="X25" s="8">
        <f t="shared" si="6"/>
        <v>268</v>
      </c>
      <c r="Y25" s="3"/>
      <c r="Z25" s="7">
        <f t="shared" si="7"/>
        <v>5.8425986483540443E-2</v>
      </c>
    </row>
    <row r="26" spans="1:26" s="70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8">
        <v>661.77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661.77</v>
      </c>
      <c r="M26" s="3"/>
      <c r="N26" s="7">
        <f t="shared" si="3"/>
        <v>0</v>
      </c>
      <c r="O26" s="12"/>
      <c r="P26" s="8">
        <v>17498.82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17498.82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8">
        <v>1880.68</v>
      </c>
      <c r="E27" s="3"/>
      <c r="F27" s="7">
        <f t="shared" si="0"/>
        <v>0</v>
      </c>
      <c r="G27" s="3"/>
      <c r="H27" s="8">
        <v>731.62224000000003</v>
      </c>
      <c r="I27" s="3"/>
      <c r="J27" s="7">
        <f t="shared" si="1"/>
        <v>0</v>
      </c>
      <c r="K27" s="3"/>
      <c r="L27" s="8">
        <f t="shared" si="2"/>
        <v>1149.0577600000001</v>
      </c>
      <c r="M27" s="3"/>
      <c r="N27" s="7">
        <f t="shared" si="3"/>
        <v>1.5705615509993245</v>
      </c>
      <c r="O27" s="12"/>
      <c r="P27" s="8">
        <v>20059.64</v>
      </c>
      <c r="Q27" s="3"/>
      <c r="R27" s="7">
        <f t="shared" si="4"/>
        <v>0</v>
      </c>
      <c r="S27" s="3"/>
      <c r="T27" s="8">
        <v>8779.4668799999999</v>
      </c>
      <c r="U27" s="3"/>
      <c r="V27" s="7">
        <f t="shared" si="5"/>
        <v>0</v>
      </c>
      <c r="W27" s="3"/>
      <c r="X27" s="8">
        <f t="shared" si="6"/>
        <v>11280.173119999999</v>
      </c>
      <c r="Y27" s="3"/>
      <c r="Z27" s="7">
        <f t="shared" si="7"/>
        <v>1.2848357735361717</v>
      </c>
    </row>
    <row r="28" spans="1:26" s="70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8">
        <v>1247.24</v>
      </c>
      <c r="E28" s="3"/>
      <c r="F28" s="7">
        <f t="shared" si="0"/>
        <v>0</v>
      </c>
      <c r="G28" s="3"/>
      <c r="H28" s="8">
        <v>547.74815999999998</v>
      </c>
      <c r="I28" s="3"/>
      <c r="J28" s="7">
        <f t="shared" si="1"/>
        <v>0</v>
      </c>
      <c r="K28" s="3"/>
      <c r="L28" s="8">
        <f t="shared" si="2"/>
        <v>699.49184000000002</v>
      </c>
      <c r="M28" s="3"/>
      <c r="N28" s="7">
        <f t="shared" si="3"/>
        <v>1.2770318388655109</v>
      </c>
      <c r="O28" s="12"/>
      <c r="P28" s="8">
        <v>16690.03</v>
      </c>
      <c r="Q28" s="3"/>
      <c r="R28" s="7">
        <f t="shared" si="4"/>
        <v>0</v>
      </c>
      <c r="S28" s="3"/>
      <c r="T28" s="8">
        <v>6572.9779200000003</v>
      </c>
      <c r="U28" s="3"/>
      <c r="V28" s="7">
        <f t="shared" si="5"/>
        <v>0</v>
      </c>
      <c r="W28" s="3"/>
      <c r="X28" s="8">
        <f t="shared" si="6"/>
        <v>10117.052079999998</v>
      </c>
      <c r="Y28" s="3"/>
      <c r="Z28" s="7">
        <f t="shared" si="7"/>
        <v>1.5391885083344381</v>
      </c>
    </row>
    <row r="29" spans="1:26" s="70" customFormat="1" ht="15" hidden="1" customHeight="1" outlineLevel="2" x14ac:dyDescent="0.25">
      <c r="A29" s="25"/>
      <c r="B29" s="12" t="str">
        <f>CONCATENATE("          ","6156"," - ","EMPLOYEE MEALS")</f>
        <v xml:space="preserve">          6156 - EMPLOYEE MEALS</v>
      </c>
      <c r="C29" s="12"/>
      <c r="D29" s="8">
        <v>439.29</v>
      </c>
      <c r="E29" s="3"/>
      <c r="F29" s="7">
        <f t="shared" si="0"/>
        <v>0</v>
      </c>
      <c r="G29" s="3"/>
      <c r="H29" s="8">
        <v>700</v>
      </c>
      <c r="I29" s="3"/>
      <c r="J29" s="7">
        <f t="shared" si="1"/>
        <v>0</v>
      </c>
      <c r="K29" s="3"/>
      <c r="L29" s="8">
        <f t="shared" si="2"/>
        <v>-260.70999999999998</v>
      </c>
      <c r="M29" s="3"/>
      <c r="N29" s="7">
        <f t="shared" si="3"/>
        <v>-0.37244285714285713</v>
      </c>
      <c r="O29" s="12"/>
      <c r="P29" s="8">
        <v>3029.18</v>
      </c>
      <c r="Q29" s="3"/>
      <c r="R29" s="7">
        <f t="shared" si="4"/>
        <v>0</v>
      </c>
      <c r="S29" s="3"/>
      <c r="T29" s="8">
        <v>7700</v>
      </c>
      <c r="U29" s="3"/>
      <c r="V29" s="7">
        <f t="shared" si="5"/>
        <v>0</v>
      </c>
      <c r="W29" s="3"/>
      <c r="X29" s="8">
        <f t="shared" si="6"/>
        <v>-4670.82</v>
      </c>
      <c r="Y29" s="3"/>
      <c r="Z29" s="7">
        <f t="shared" si="7"/>
        <v>-0.60659999999999992</v>
      </c>
    </row>
    <row r="30" spans="1:26" s="69" customFormat="1" ht="15" customHeight="1" outlineLevel="1" collapsed="1" x14ac:dyDescent="0.25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27710.469999999998</v>
      </c>
      <c r="E30" s="2"/>
      <c r="F30" s="6">
        <f t="shared" si="0"/>
        <v>0</v>
      </c>
      <c r="G30" s="2"/>
      <c r="H30" s="2">
        <f>SUM(OSRRefH22_1x_0)</f>
        <v>23449.785759999999</v>
      </c>
      <c r="I30" s="2"/>
      <c r="J30" s="6">
        <f t="shared" si="1"/>
        <v>0</v>
      </c>
      <c r="K30" s="2"/>
      <c r="L30" s="2">
        <f t="shared" si="2"/>
        <v>4260.6842399999987</v>
      </c>
      <c r="M30" s="2"/>
      <c r="N30" s="6">
        <f t="shared" si="3"/>
        <v>0.18169395164657567</v>
      </c>
      <c r="O30" s="14"/>
      <c r="P30" s="2">
        <f>SUM(OSRRefP22_1x_0)</f>
        <v>325566.01999999996</v>
      </c>
      <c r="Q30" s="2"/>
      <c r="R30" s="6">
        <f t="shared" si="4"/>
        <v>0</v>
      </c>
      <c r="S30" s="2"/>
      <c r="T30" s="2">
        <f>SUM(OSRRefT22_1x_0)</f>
        <v>281397.42911999999</v>
      </c>
      <c r="U30" s="2"/>
      <c r="V30" s="6">
        <f t="shared" si="5"/>
        <v>0</v>
      </c>
      <c r="W30" s="2"/>
      <c r="X30" s="2">
        <f t="shared" si="6"/>
        <v>44168.590879999974</v>
      </c>
      <c r="Y30" s="2"/>
      <c r="Z30" s="6">
        <f t="shared" si="7"/>
        <v>0.15696160060213124</v>
      </c>
    </row>
    <row r="31" spans="1:26" s="70" customFormat="1" ht="15" hidden="1" customHeight="1" outlineLevel="2" x14ac:dyDescent="0.25">
      <c r="A31" s="25"/>
      <c r="B31" s="12" t="str">
        <f>CONCATENATE("          ","6001"," - ","ADMINISTRATIVE SALARIES")</f>
        <v xml:space="preserve">          6001 - ADMINISTRATIVE SALARIES</v>
      </c>
      <c r="C31" s="12"/>
      <c r="D31" s="8">
        <v>10650.64</v>
      </c>
      <c r="E31" s="3"/>
      <c r="F31" s="7">
        <f t="shared" si="0"/>
        <v>0</v>
      </c>
      <c r="G31" s="3"/>
      <c r="H31" s="8">
        <v>9785</v>
      </c>
      <c r="I31" s="3"/>
      <c r="J31" s="7">
        <f t="shared" si="1"/>
        <v>0</v>
      </c>
      <c r="K31" s="3"/>
      <c r="L31" s="8">
        <f t="shared" si="2"/>
        <v>865.63999999999942</v>
      </c>
      <c r="M31" s="3"/>
      <c r="N31" s="7">
        <f t="shared" si="3"/>
        <v>8.8466019417475672E-2</v>
      </c>
      <c r="O31" s="12"/>
      <c r="P31" s="8">
        <v>129446.18</v>
      </c>
      <c r="Q31" s="3"/>
      <c r="R31" s="7">
        <f t="shared" si="4"/>
        <v>0</v>
      </c>
      <c r="S31" s="3"/>
      <c r="T31" s="8">
        <v>117420</v>
      </c>
      <c r="U31" s="3"/>
      <c r="V31" s="7">
        <f t="shared" si="5"/>
        <v>0</v>
      </c>
      <c r="W31" s="3"/>
      <c r="X31" s="8">
        <f t="shared" si="6"/>
        <v>12026.179999999993</v>
      </c>
      <c r="Y31" s="3"/>
      <c r="Z31" s="7">
        <f t="shared" si="7"/>
        <v>0.10242020098790661</v>
      </c>
    </row>
    <row r="32" spans="1:26" s="70" customFormat="1" ht="15" hidden="1" customHeight="1" outlineLevel="2" x14ac:dyDescent="0.25">
      <c r="A32" s="25"/>
      <c r="B32" s="12" t="str">
        <f>CONCATENATE("          ","6002"," - ","STAFF SALARIES")</f>
        <v xml:space="preserve">          6002 - STAFF SALARIES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18.5</v>
      </c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18.5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","6003"," - ","STAFF HOURLY-9 MONTH")</f>
        <v xml:space="preserve">          6003 - STAFF HOURLY-9 MONTH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","6004"," - ","STAFF HOURLY")</f>
        <v xml:space="preserve">          6004 - STAFF HOURLY</v>
      </c>
      <c r="C34" s="12"/>
      <c r="D34" s="8">
        <v>14935.24</v>
      </c>
      <c r="E34" s="3"/>
      <c r="F34" s="7">
        <f t="shared" si="0"/>
        <v>0</v>
      </c>
      <c r="G34" s="3"/>
      <c r="H34" s="8">
        <v>9784.7857600000007</v>
      </c>
      <c r="I34" s="3"/>
      <c r="J34" s="7">
        <f t="shared" si="1"/>
        <v>0</v>
      </c>
      <c r="K34" s="3"/>
      <c r="L34" s="8">
        <f t="shared" si="2"/>
        <v>5150.4542399999991</v>
      </c>
      <c r="M34" s="3"/>
      <c r="N34" s="7">
        <f t="shared" si="3"/>
        <v>0.52637373636272633</v>
      </c>
      <c r="O34" s="12"/>
      <c r="P34" s="8">
        <v>172659.66</v>
      </c>
      <c r="Q34" s="3"/>
      <c r="R34" s="7">
        <f t="shared" si="4"/>
        <v>0</v>
      </c>
      <c r="S34" s="3"/>
      <c r="T34" s="8">
        <v>117417.42912</v>
      </c>
      <c r="U34" s="3"/>
      <c r="V34" s="7">
        <f t="shared" si="5"/>
        <v>0</v>
      </c>
      <c r="W34" s="3"/>
      <c r="X34" s="8">
        <f t="shared" si="6"/>
        <v>55242.230880000003</v>
      </c>
      <c r="Y34" s="3"/>
      <c r="Z34" s="7">
        <f t="shared" si="7"/>
        <v>0.4704772646958803</v>
      </c>
    </row>
    <row r="35" spans="1:26" s="70" customFormat="1" ht="15" hidden="1" customHeight="1" outlineLevel="2" x14ac:dyDescent="0.25">
      <c r="A35" s="25"/>
      <c r="B35" s="12" t="str">
        <f>CONCATENATE("          ","6005"," - ","TEMPORARY WAGES-HOURLY")</f>
        <v xml:space="preserve">          6005 - TEMPORARY WAGES-HOURLY</v>
      </c>
      <c r="C35" s="12"/>
      <c r="D35" s="8">
        <v>2124.59</v>
      </c>
      <c r="E35" s="3"/>
      <c r="F35" s="7">
        <f t="shared" si="0"/>
        <v>0</v>
      </c>
      <c r="G35" s="3"/>
      <c r="H35" s="8">
        <v>3880</v>
      </c>
      <c r="I35" s="3"/>
      <c r="J35" s="7">
        <f t="shared" si="1"/>
        <v>0</v>
      </c>
      <c r="K35" s="3"/>
      <c r="L35" s="8">
        <f t="shared" si="2"/>
        <v>-1755.4099999999999</v>
      </c>
      <c r="M35" s="3"/>
      <c r="N35" s="7">
        <f t="shared" si="3"/>
        <v>-0.45242525773195874</v>
      </c>
      <c r="O35" s="12"/>
      <c r="P35" s="8">
        <v>23441.68</v>
      </c>
      <c r="Q35" s="3"/>
      <c r="R35" s="7">
        <f t="shared" si="4"/>
        <v>0</v>
      </c>
      <c r="S35" s="3"/>
      <c r="T35" s="8">
        <v>46560</v>
      </c>
      <c r="U35" s="3"/>
      <c r="V35" s="7">
        <f t="shared" si="5"/>
        <v>0</v>
      </c>
      <c r="W35" s="3"/>
      <c r="X35" s="8">
        <f t="shared" si="6"/>
        <v>-23118.32</v>
      </c>
      <c r="Y35" s="3"/>
      <c r="Z35" s="7">
        <f t="shared" si="7"/>
        <v>-0.49652749140893471</v>
      </c>
    </row>
    <row r="36" spans="1:26" s="70" customFormat="1" ht="15" hidden="1" customHeight="1" outlineLevel="2" x14ac:dyDescent="0.25">
      <c r="A36" s="25"/>
      <c r="B36" s="12" t="str">
        <f>CONCATENATE("          ","6006"," - ","TEMPORARY PART TIME")</f>
        <v xml:space="preserve">          6006 - TEMPORARY PART TIME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","6007"," - ","STUDENT HOURLY")</f>
        <v xml:space="preserve">          6007 - STUDENT HOURLY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0</v>
      </c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","6008"," - ","STUDENT HOURLY-FICA EXEMPT")</f>
        <v xml:space="preserve">          6008 - STUDENT HOURLY-FICA EXEMPT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","6009"," - ","TEMPORARY-SEASONAL")</f>
        <v xml:space="preserve">          6009 - TEMPORARY-SEASONAL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","6010"," - ","GRATUITY")</f>
        <v xml:space="preserve">          6010 - GRATUITY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69" customFormat="1" ht="15" customHeight="1" outlineLevel="1" collapsed="1" x14ac:dyDescent="0.25">
      <c r="A41" s="26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0</v>
      </c>
      <c r="E41" s="2"/>
      <c r="F41" s="6">
        <f t="shared" si="0"/>
        <v>0</v>
      </c>
      <c r="G41" s="2"/>
      <c r="H41" s="2">
        <f>SUM(OSRRefH22_2x_0)</f>
        <v>150</v>
      </c>
      <c r="I41" s="2"/>
      <c r="J41" s="6">
        <f t="shared" si="1"/>
        <v>0</v>
      </c>
      <c r="K41" s="2"/>
      <c r="L41" s="2">
        <f t="shared" si="2"/>
        <v>-150</v>
      </c>
      <c r="M41" s="2"/>
      <c r="N41" s="6">
        <f t="shared" si="3"/>
        <v>-1</v>
      </c>
      <c r="O41" s="14"/>
      <c r="P41" s="2">
        <f>SUM(OSRRefP22_2x_0)</f>
        <v>646.46</v>
      </c>
      <c r="Q41" s="2"/>
      <c r="R41" s="6">
        <f t="shared" si="4"/>
        <v>0</v>
      </c>
      <c r="S41" s="2"/>
      <c r="T41" s="2">
        <f>SUM(OSRRefT22_2x_0)</f>
        <v>1650</v>
      </c>
      <c r="U41" s="2"/>
      <c r="V41" s="6">
        <f t="shared" si="5"/>
        <v>0</v>
      </c>
      <c r="W41" s="2"/>
      <c r="X41" s="2">
        <f t="shared" si="6"/>
        <v>-1003.54</v>
      </c>
      <c r="Y41" s="2"/>
      <c r="Z41" s="6">
        <f t="shared" si="7"/>
        <v>-0.60820606060606064</v>
      </c>
    </row>
    <row r="42" spans="1:26" s="70" customFormat="1" ht="15" hidden="1" customHeight="1" outlineLevel="2" x14ac:dyDescent="0.25">
      <c r="A42" s="25"/>
      <c r="B42" s="12" t="str">
        <f>CONCATENATE("          ","6362"," - ","ADVERTISING EXPENSE")</f>
        <v xml:space="preserve">          6362 - ADVERTISING EXPENSE</v>
      </c>
      <c r="C42" s="12"/>
      <c r="D42" s="8"/>
      <c r="E42" s="3"/>
      <c r="F42" s="7">
        <f t="shared" si="0"/>
        <v>0</v>
      </c>
      <c r="G42" s="3"/>
      <c r="H42" s="8">
        <v>150</v>
      </c>
      <c r="I42" s="3"/>
      <c r="J42" s="7">
        <f t="shared" si="1"/>
        <v>0</v>
      </c>
      <c r="K42" s="3"/>
      <c r="L42" s="8">
        <f t="shared" si="2"/>
        <v>-150</v>
      </c>
      <c r="M42" s="3"/>
      <c r="N42" s="7">
        <f t="shared" si="3"/>
        <v>-1</v>
      </c>
      <c r="O42" s="12"/>
      <c r="P42" s="8">
        <v>646.46</v>
      </c>
      <c r="Q42" s="3"/>
      <c r="R42" s="7">
        <f t="shared" si="4"/>
        <v>0</v>
      </c>
      <c r="S42" s="3"/>
      <c r="T42" s="8">
        <v>1650</v>
      </c>
      <c r="U42" s="3"/>
      <c r="V42" s="7">
        <f t="shared" si="5"/>
        <v>0</v>
      </c>
      <c r="W42" s="3"/>
      <c r="X42" s="8">
        <f t="shared" si="6"/>
        <v>-1003.54</v>
      </c>
      <c r="Y42" s="3"/>
      <c r="Z42" s="7">
        <f t="shared" si="7"/>
        <v>-0.60820606060606064</v>
      </c>
    </row>
    <row r="43" spans="1:26" s="69" customFormat="1" ht="15" customHeight="1" outlineLevel="1" collapsed="1" x14ac:dyDescent="0.25">
      <c r="A43" s="26"/>
      <c r="B43" s="14" t="str">
        <f>CONCATENATE("     ","Employees' Appreciation                           ")</f>
        <v xml:space="preserve">     Employees' Appreciation                           </v>
      </c>
      <c r="C43" s="14"/>
      <c r="D43" s="2">
        <f>SUM(OSRRefD22_3x_0)</f>
        <v>0</v>
      </c>
      <c r="E43" s="2"/>
      <c r="F43" s="6">
        <f t="shared" si="0"/>
        <v>0</v>
      </c>
      <c r="G43" s="2"/>
      <c r="H43" s="2">
        <f>SUM(OSRRefH22_3x_0)</f>
        <v>12750</v>
      </c>
      <c r="I43" s="2"/>
      <c r="J43" s="6">
        <f t="shared" si="1"/>
        <v>0</v>
      </c>
      <c r="K43" s="2"/>
      <c r="L43" s="2">
        <f t="shared" si="2"/>
        <v>-12750</v>
      </c>
      <c r="M43" s="2"/>
      <c r="N43" s="6">
        <f t="shared" si="3"/>
        <v>-1</v>
      </c>
      <c r="O43" s="14"/>
      <c r="P43" s="2">
        <f>SUM(OSRRefP22_3x_0)</f>
        <v>114.87</v>
      </c>
      <c r="Q43" s="2"/>
      <c r="R43" s="6">
        <f t="shared" si="4"/>
        <v>0</v>
      </c>
      <c r="S43" s="2"/>
      <c r="T43" s="2">
        <f>SUM(OSRRefT22_3x_0)</f>
        <v>15250</v>
      </c>
      <c r="U43" s="2"/>
      <c r="V43" s="6">
        <f t="shared" si="5"/>
        <v>0</v>
      </c>
      <c r="W43" s="2"/>
      <c r="X43" s="2">
        <f t="shared" si="6"/>
        <v>-15135.13</v>
      </c>
      <c r="Y43" s="2"/>
      <c r="Z43" s="6">
        <f t="shared" si="7"/>
        <v>-0.99246754098360646</v>
      </c>
    </row>
    <row r="44" spans="1:26" s="70" customFormat="1" ht="15" hidden="1" customHeight="1" outlineLevel="2" x14ac:dyDescent="0.25">
      <c r="A44" s="25"/>
      <c r="B44" s="12" t="str">
        <f>CONCATENATE("          ","6277"," - ","EMPLOYEE APPRECIATION")</f>
        <v xml:space="preserve">          6277 - EMPLOYEE APPRECIATION</v>
      </c>
      <c r="C44" s="12"/>
      <c r="D44" s="8"/>
      <c r="E44" s="3"/>
      <c r="F44" s="7">
        <f t="shared" si="0"/>
        <v>0</v>
      </c>
      <c r="G44" s="3"/>
      <c r="H44" s="8">
        <v>12750</v>
      </c>
      <c r="I44" s="3"/>
      <c r="J44" s="7">
        <f t="shared" si="1"/>
        <v>0</v>
      </c>
      <c r="K44" s="3"/>
      <c r="L44" s="8">
        <f t="shared" si="2"/>
        <v>-12750</v>
      </c>
      <c r="M44" s="3"/>
      <c r="N44" s="7">
        <f t="shared" si="3"/>
        <v>-1</v>
      </c>
      <c r="O44" s="12"/>
      <c r="P44" s="8">
        <v>114.87</v>
      </c>
      <c r="Q44" s="3"/>
      <c r="R44" s="7">
        <f t="shared" si="4"/>
        <v>0</v>
      </c>
      <c r="S44" s="3"/>
      <c r="T44" s="8">
        <v>15250</v>
      </c>
      <c r="U44" s="3"/>
      <c r="V44" s="7">
        <f t="shared" si="5"/>
        <v>0</v>
      </c>
      <c r="W44" s="3"/>
      <c r="X44" s="8">
        <f t="shared" si="6"/>
        <v>-15135.13</v>
      </c>
      <c r="Y44" s="3"/>
      <c r="Z44" s="7">
        <f t="shared" si="7"/>
        <v>-0.99246754098360646</v>
      </c>
    </row>
    <row r="45" spans="1:26" s="69" customFormat="1" ht="15" customHeight="1" outlineLevel="1" collapsed="1" x14ac:dyDescent="0.25">
      <c r="A45" s="26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-75</v>
      </c>
      <c r="M45" s="2"/>
      <c r="N45" s="6">
        <f t="shared" si="3"/>
        <v>-1</v>
      </c>
      <c r="O45" s="14"/>
      <c r="P45" s="2">
        <f>SUM(OSRRefP22_4x_0)</f>
        <v>0</v>
      </c>
      <c r="Q45" s="2"/>
      <c r="R45" s="6">
        <f t="shared" si="4"/>
        <v>0</v>
      </c>
      <c r="S45" s="2"/>
      <c r="T45" s="2">
        <f>SUM(OSRRefT22_4x_0)</f>
        <v>825</v>
      </c>
      <c r="U45" s="2"/>
      <c r="V45" s="6">
        <f t="shared" si="5"/>
        <v>0</v>
      </c>
      <c r="W45" s="2"/>
      <c r="X45" s="2">
        <f t="shared" si="6"/>
        <v>-825</v>
      </c>
      <c r="Y45" s="2"/>
      <c r="Z45" s="6">
        <f t="shared" si="7"/>
        <v>-1</v>
      </c>
    </row>
    <row r="46" spans="1:26" s="70" customFormat="1" ht="15" hidden="1" customHeight="1" outlineLevel="2" x14ac:dyDescent="0.25">
      <c r="A46" s="25"/>
      <c r="B46" s="12" t="str">
        <f>CONCATENATE("          ","6351"," - ","EQUIPMENT RENTAL")</f>
        <v xml:space="preserve">          6351 - EQUIPMENT RENTAL</v>
      </c>
      <c r="C46" s="12"/>
      <c r="D46" s="8"/>
      <c r="E46" s="3"/>
      <c r="F46" s="7">
        <f t="shared" si="0"/>
        <v>0</v>
      </c>
      <c r="G46" s="3"/>
      <c r="H46" s="8">
        <v>75</v>
      </c>
      <c r="I46" s="3"/>
      <c r="J46" s="7">
        <f t="shared" si="1"/>
        <v>0</v>
      </c>
      <c r="K46" s="3"/>
      <c r="L46" s="8">
        <f t="shared" si="2"/>
        <v>-75</v>
      </c>
      <c r="M46" s="3"/>
      <c r="N46" s="7">
        <f t="shared" si="3"/>
        <v>-1</v>
      </c>
      <c r="O46" s="12"/>
      <c r="P46" s="8"/>
      <c r="Q46" s="3"/>
      <c r="R46" s="7">
        <f t="shared" si="4"/>
        <v>0</v>
      </c>
      <c r="S46" s="3"/>
      <c r="T46" s="8">
        <v>825</v>
      </c>
      <c r="U46" s="3"/>
      <c r="V46" s="7">
        <f t="shared" si="5"/>
        <v>0</v>
      </c>
      <c r="W46" s="3"/>
      <c r="X46" s="8">
        <f t="shared" si="6"/>
        <v>-825</v>
      </c>
      <c r="Y46" s="3"/>
      <c r="Z46" s="7">
        <f t="shared" si="7"/>
        <v>-1</v>
      </c>
    </row>
    <row r="47" spans="1:26" s="69" customFormat="1" ht="15" customHeight="1" outlineLevel="1" collapsed="1" x14ac:dyDescent="0.25">
      <c r="A47" s="26"/>
      <c r="B47" s="14" t="str">
        <f>CONCATENATE("     ","Freight out/Postage                               ")</f>
        <v xml:space="preserve">     Freight out/Postage                               </v>
      </c>
      <c r="C47" s="14"/>
      <c r="D47" s="2">
        <f>SUM(OSRRefD22_5x_0)</f>
        <v>5.37</v>
      </c>
      <c r="E47" s="2"/>
      <c r="F47" s="6">
        <f t="shared" si="0"/>
        <v>0</v>
      </c>
      <c r="G47" s="2"/>
      <c r="H47" s="2">
        <f>SUM(OSRRefH22_5x_0)</f>
        <v>85</v>
      </c>
      <c r="I47" s="2"/>
      <c r="J47" s="6">
        <f t="shared" si="1"/>
        <v>0</v>
      </c>
      <c r="K47" s="2"/>
      <c r="L47" s="2">
        <f t="shared" si="2"/>
        <v>-79.63</v>
      </c>
      <c r="M47" s="2"/>
      <c r="N47" s="6">
        <f t="shared" si="3"/>
        <v>-0.93682352941176461</v>
      </c>
      <c r="O47" s="14"/>
      <c r="P47" s="2">
        <f>SUM(OSRRefP22_5x_0)</f>
        <v>214.98</v>
      </c>
      <c r="Q47" s="2"/>
      <c r="R47" s="6">
        <f t="shared" si="4"/>
        <v>0</v>
      </c>
      <c r="S47" s="2"/>
      <c r="T47" s="2">
        <f>SUM(OSRRefT22_5x_0)</f>
        <v>595</v>
      </c>
      <c r="U47" s="2"/>
      <c r="V47" s="6">
        <f t="shared" si="5"/>
        <v>0</v>
      </c>
      <c r="W47" s="2"/>
      <c r="X47" s="2">
        <f t="shared" si="6"/>
        <v>-380.02</v>
      </c>
      <c r="Y47" s="2"/>
      <c r="Z47" s="6">
        <f t="shared" si="7"/>
        <v>-0.63868907563025212</v>
      </c>
    </row>
    <row r="48" spans="1:26" s="70" customFormat="1" ht="15" hidden="1" customHeight="1" outlineLevel="2" x14ac:dyDescent="0.25">
      <c r="A48" s="25"/>
      <c r="B48" s="12" t="str">
        <f>CONCATENATE("          ","6307"," - ","POSTAGE")</f>
        <v xml:space="preserve">          6307 - POSTAGE</v>
      </c>
      <c r="C48" s="12"/>
      <c r="D48" s="8">
        <v>5.37</v>
      </c>
      <c r="E48" s="3"/>
      <c r="F48" s="7">
        <f t="shared" si="0"/>
        <v>0</v>
      </c>
      <c r="G48" s="3"/>
      <c r="H48" s="8">
        <v>85</v>
      </c>
      <c r="I48" s="3"/>
      <c r="J48" s="7">
        <f t="shared" si="1"/>
        <v>0</v>
      </c>
      <c r="K48" s="3"/>
      <c r="L48" s="8">
        <f t="shared" si="2"/>
        <v>-79.63</v>
      </c>
      <c r="M48" s="3"/>
      <c r="N48" s="7">
        <f t="shared" si="3"/>
        <v>-0.93682352941176461</v>
      </c>
      <c r="O48" s="12"/>
      <c r="P48" s="8">
        <v>214.98</v>
      </c>
      <c r="Q48" s="3"/>
      <c r="R48" s="7">
        <f t="shared" si="4"/>
        <v>0</v>
      </c>
      <c r="S48" s="3"/>
      <c r="T48" s="8">
        <v>595</v>
      </c>
      <c r="U48" s="3"/>
      <c r="V48" s="7">
        <f t="shared" si="5"/>
        <v>0</v>
      </c>
      <c r="W48" s="3"/>
      <c r="X48" s="8">
        <f t="shared" si="6"/>
        <v>-380.02</v>
      </c>
      <c r="Y48" s="3"/>
      <c r="Z48" s="7">
        <f t="shared" si="7"/>
        <v>-0.63868907563025212</v>
      </c>
    </row>
    <row r="49" spans="1:26" s="69" customFormat="1" ht="15" customHeight="1" outlineLevel="1" collapsed="1" x14ac:dyDescent="0.25">
      <c r="A49" s="26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51.36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51.36</v>
      </c>
      <c r="M49" s="2"/>
      <c r="N49" s="6">
        <f t="shared" si="3"/>
        <v>0</v>
      </c>
      <c r="O49" s="14"/>
      <c r="P49" s="2">
        <f>SUM(OSRRefP22_6x_0)</f>
        <v>2946.61</v>
      </c>
      <c r="Q49" s="2"/>
      <c r="R49" s="6">
        <f t="shared" si="4"/>
        <v>0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2946.61</v>
      </c>
      <c r="Y49" s="2"/>
      <c r="Z49" s="6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","6279"," - ","GENERAL EXPENSE")</f>
        <v xml:space="preserve">          6279 - GENERAL EXPENSE</v>
      </c>
      <c r="C50" s="12"/>
      <c r="D50" s="8">
        <v>51.36</v>
      </c>
      <c r="E50" s="3"/>
      <c r="F50" s="7">
        <f t="shared" ref="F50:F73" si="8">IF(D$12=0,0,D50/D$12)</f>
        <v>0</v>
      </c>
      <c r="G50" s="3"/>
      <c r="H50" s="8"/>
      <c r="I50" s="3"/>
      <c r="J50" s="7">
        <f t="shared" ref="J50:J73" si="9">IF(H$12=0,0,H50/H$12)</f>
        <v>0</v>
      </c>
      <c r="K50" s="3"/>
      <c r="L50" s="8">
        <f t="shared" ref="L50:L73" si="10">+D50-H50</f>
        <v>51.36</v>
      </c>
      <c r="M50" s="3"/>
      <c r="N50" s="7">
        <f t="shared" ref="N50:N73" si="11">IF(H50=0,0,L50/H50)</f>
        <v>0</v>
      </c>
      <c r="O50" s="12"/>
      <c r="P50" s="8">
        <v>2946.61</v>
      </c>
      <c r="Q50" s="3"/>
      <c r="R50" s="7">
        <f t="shared" ref="R50:R73" si="12">IF(P$12=0,0,P50/P$12)</f>
        <v>0</v>
      </c>
      <c r="S50" s="3"/>
      <c r="T50" s="8"/>
      <c r="U50" s="3"/>
      <c r="V50" s="7">
        <f t="shared" ref="V50:V73" si="13">IF(T$12=0,0,T50/T$12)</f>
        <v>0</v>
      </c>
      <c r="W50" s="3"/>
      <c r="X50" s="8">
        <f t="shared" ref="X50:X73" si="14">+P50-T50</f>
        <v>2946.61</v>
      </c>
      <c r="Y50" s="3"/>
      <c r="Z50" s="7">
        <f t="shared" ref="Z50:Z73" si="15">IF(T50=0,0,X50/T50)</f>
        <v>0</v>
      </c>
    </row>
    <row r="51" spans="1:26" s="69" customFormat="1" ht="15" customHeight="1" outlineLevel="1" collapsed="1" x14ac:dyDescent="0.25">
      <c r="A51" s="26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88.99</v>
      </c>
      <c r="E51" s="2"/>
      <c r="F51" s="6">
        <f t="shared" si="8"/>
        <v>0</v>
      </c>
      <c r="G51" s="2"/>
      <c r="H51" s="2">
        <f>SUM(OSRRefH22_7x_0)</f>
        <v>90</v>
      </c>
      <c r="I51" s="2"/>
      <c r="J51" s="6">
        <f t="shared" si="9"/>
        <v>0</v>
      </c>
      <c r="K51" s="2"/>
      <c r="L51" s="2">
        <f t="shared" si="10"/>
        <v>-1.0100000000000051</v>
      </c>
      <c r="M51" s="2"/>
      <c r="N51" s="6">
        <f t="shared" si="11"/>
        <v>-1.1222222222222279E-2</v>
      </c>
      <c r="O51" s="14"/>
      <c r="P51" s="2">
        <f>SUM(OSRRefP22_7x_0)</f>
        <v>978.89</v>
      </c>
      <c r="Q51" s="2"/>
      <c r="R51" s="6">
        <f t="shared" si="12"/>
        <v>0</v>
      </c>
      <c r="S51" s="2"/>
      <c r="T51" s="2">
        <f>SUM(OSRRefT22_7x_0)</f>
        <v>990</v>
      </c>
      <c r="U51" s="2"/>
      <c r="V51" s="6">
        <f t="shared" si="13"/>
        <v>0</v>
      </c>
      <c r="W51" s="2"/>
      <c r="X51" s="2">
        <f t="shared" si="14"/>
        <v>-11.110000000000014</v>
      </c>
      <c r="Y51" s="2"/>
      <c r="Z51" s="6">
        <f t="shared" si="15"/>
        <v>-1.1222222222222236E-2</v>
      </c>
    </row>
    <row r="52" spans="1:26" s="70" customFormat="1" ht="15" hidden="1" customHeight="1" outlineLevel="2" x14ac:dyDescent="0.25">
      <c r="A52" s="25"/>
      <c r="B52" s="12" t="str">
        <f>CONCATENATE("          ","6314"," - ","LIABILITY INSURANCE")</f>
        <v xml:space="preserve">          6314 - LIABILITY INSURANCE</v>
      </c>
      <c r="C52" s="12"/>
      <c r="D52" s="8">
        <v>88.99</v>
      </c>
      <c r="E52" s="3"/>
      <c r="F52" s="7">
        <f t="shared" si="8"/>
        <v>0</v>
      </c>
      <c r="G52" s="3"/>
      <c r="H52" s="8">
        <v>90</v>
      </c>
      <c r="I52" s="3"/>
      <c r="J52" s="7">
        <f t="shared" si="9"/>
        <v>0</v>
      </c>
      <c r="K52" s="3"/>
      <c r="L52" s="8">
        <f t="shared" si="10"/>
        <v>-1.0100000000000051</v>
      </c>
      <c r="M52" s="3"/>
      <c r="N52" s="7">
        <f t="shared" si="11"/>
        <v>-1.1222222222222279E-2</v>
      </c>
      <c r="O52" s="12"/>
      <c r="P52" s="8">
        <v>978.89</v>
      </c>
      <c r="Q52" s="3"/>
      <c r="R52" s="7">
        <f t="shared" si="12"/>
        <v>0</v>
      </c>
      <c r="S52" s="3"/>
      <c r="T52" s="8">
        <v>990</v>
      </c>
      <c r="U52" s="3"/>
      <c r="V52" s="7">
        <f t="shared" si="13"/>
        <v>0</v>
      </c>
      <c r="W52" s="3"/>
      <c r="X52" s="8">
        <f t="shared" si="14"/>
        <v>-11.110000000000014</v>
      </c>
      <c r="Y52" s="3"/>
      <c r="Z52" s="7">
        <f t="shared" si="15"/>
        <v>-1.1222222222222236E-2</v>
      </c>
    </row>
    <row r="53" spans="1:26" s="69" customFormat="1" ht="15" customHeight="1" outlineLevel="1" collapsed="1" x14ac:dyDescent="0.25">
      <c r="A53" s="26"/>
      <c r="B53" s="14" t="str">
        <f>CONCATENATE("     ","Professional Services                             ")</f>
        <v xml:space="preserve">     Professional Services                             </v>
      </c>
      <c r="C53" s="14"/>
      <c r="D53" s="2">
        <f>SUM(OSRRefD22_8x_0)</f>
        <v>8406.75</v>
      </c>
      <c r="E53" s="2"/>
      <c r="F53" s="6">
        <f t="shared" si="8"/>
        <v>0</v>
      </c>
      <c r="G53" s="2"/>
      <c r="H53" s="2">
        <f>SUM(OSRRefH22_8x_0)</f>
        <v>1666</v>
      </c>
      <c r="I53" s="2"/>
      <c r="J53" s="6">
        <f t="shared" si="9"/>
        <v>0</v>
      </c>
      <c r="K53" s="2"/>
      <c r="L53" s="2">
        <f t="shared" si="10"/>
        <v>6740.75</v>
      </c>
      <c r="M53" s="2"/>
      <c r="N53" s="6">
        <f t="shared" si="11"/>
        <v>4.0460684273709484</v>
      </c>
      <c r="O53" s="14"/>
      <c r="P53" s="2">
        <f>SUM(OSRRefP22_8x_0)</f>
        <v>19969.64</v>
      </c>
      <c r="Q53" s="2"/>
      <c r="R53" s="6">
        <f t="shared" si="12"/>
        <v>0</v>
      </c>
      <c r="S53" s="2"/>
      <c r="T53" s="2">
        <f>SUM(OSRRefT22_8x_0)</f>
        <v>18326</v>
      </c>
      <c r="U53" s="2"/>
      <c r="V53" s="6">
        <f t="shared" si="13"/>
        <v>0</v>
      </c>
      <c r="W53" s="2"/>
      <c r="X53" s="2">
        <f t="shared" si="14"/>
        <v>1643.6399999999994</v>
      </c>
      <c r="Y53" s="2"/>
      <c r="Z53" s="6">
        <f t="shared" si="15"/>
        <v>8.9688966495689151E-2</v>
      </c>
    </row>
    <row r="54" spans="1:26" s="70" customFormat="1" ht="15" hidden="1" customHeight="1" outlineLevel="2" x14ac:dyDescent="0.25">
      <c r="A54" s="25"/>
      <c r="B54" s="12" t="str">
        <f>CONCATENATE("          ","6332"," - ","CONSULTANT FEES")</f>
        <v xml:space="preserve">          6332 - CONSULTANT FEES</v>
      </c>
      <c r="C54" s="12"/>
      <c r="D54" s="8"/>
      <c r="E54" s="3"/>
      <c r="F54" s="7">
        <f t="shared" si="8"/>
        <v>0</v>
      </c>
      <c r="G54" s="3"/>
      <c r="H54" s="8">
        <v>0</v>
      </c>
      <c r="I54" s="3"/>
      <c r="J54" s="7">
        <f t="shared" si="9"/>
        <v>0</v>
      </c>
      <c r="K54" s="3"/>
      <c r="L54" s="8">
        <f t="shared" si="10"/>
        <v>0</v>
      </c>
      <c r="M54" s="3"/>
      <c r="N54" s="7">
        <f t="shared" si="11"/>
        <v>0</v>
      </c>
      <c r="O54" s="12"/>
      <c r="P54" s="8"/>
      <c r="Q54" s="3"/>
      <c r="R54" s="7">
        <f t="shared" si="12"/>
        <v>0</v>
      </c>
      <c r="S54" s="3"/>
      <c r="T54" s="8">
        <v>0</v>
      </c>
      <c r="U54" s="3"/>
      <c r="V54" s="7">
        <f t="shared" si="13"/>
        <v>0</v>
      </c>
      <c r="W54" s="3"/>
      <c r="X54" s="8">
        <f t="shared" si="14"/>
        <v>0</v>
      </c>
      <c r="Y54" s="3"/>
      <c r="Z54" s="7">
        <f t="shared" si="15"/>
        <v>0</v>
      </c>
    </row>
    <row r="55" spans="1:26" s="70" customFormat="1" ht="15" hidden="1" customHeight="1" outlineLevel="2" x14ac:dyDescent="0.25">
      <c r="A55" s="25"/>
      <c r="B55" s="12" t="str">
        <f>CONCATENATE("          ","6334"," - ","LEGAL COUNCIL EXPENSE")</f>
        <v xml:space="preserve">          6334 - LEGAL COUNCIL EXPENSE</v>
      </c>
      <c r="C55" s="12"/>
      <c r="D55" s="8"/>
      <c r="E55" s="3"/>
      <c r="F55" s="7">
        <f t="shared" si="8"/>
        <v>0</v>
      </c>
      <c r="G55" s="3"/>
      <c r="H55" s="8">
        <v>833</v>
      </c>
      <c r="I55" s="3"/>
      <c r="J55" s="7">
        <f t="shared" si="9"/>
        <v>0</v>
      </c>
      <c r="K55" s="3"/>
      <c r="L55" s="8">
        <f t="shared" si="10"/>
        <v>-833</v>
      </c>
      <c r="M55" s="3"/>
      <c r="N55" s="7">
        <f t="shared" si="11"/>
        <v>-1</v>
      </c>
      <c r="O55" s="12"/>
      <c r="P55" s="8">
        <v>3255</v>
      </c>
      <c r="Q55" s="3"/>
      <c r="R55" s="7">
        <f t="shared" si="12"/>
        <v>0</v>
      </c>
      <c r="S55" s="3"/>
      <c r="T55" s="8">
        <v>9163</v>
      </c>
      <c r="U55" s="3"/>
      <c r="V55" s="7">
        <f t="shared" si="13"/>
        <v>0</v>
      </c>
      <c r="W55" s="3"/>
      <c r="X55" s="8">
        <f t="shared" si="14"/>
        <v>-5908</v>
      </c>
      <c r="Y55" s="3"/>
      <c r="Z55" s="7">
        <f t="shared" si="15"/>
        <v>-0.64476699770817414</v>
      </c>
    </row>
    <row r="56" spans="1:26" s="70" customFormat="1" ht="15" hidden="1" customHeight="1" outlineLevel="2" x14ac:dyDescent="0.25">
      <c r="A56" s="25"/>
      <c r="B56" s="12" t="str">
        <f>CONCATENATE("          ","6336"," - ","PROFESSIONAL SERVICES")</f>
        <v xml:space="preserve">          6336 - PROFESSIONAL SERVICES</v>
      </c>
      <c r="C56" s="12"/>
      <c r="D56" s="8">
        <v>8406.75</v>
      </c>
      <c r="E56" s="3"/>
      <c r="F56" s="7">
        <f t="shared" si="8"/>
        <v>0</v>
      </c>
      <c r="G56" s="3"/>
      <c r="H56" s="8">
        <v>833</v>
      </c>
      <c r="I56" s="3"/>
      <c r="J56" s="7">
        <f t="shared" si="9"/>
        <v>0</v>
      </c>
      <c r="K56" s="3"/>
      <c r="L56" s="8">
        <f t="shared" si="10"/>
        <v>7573.75</v>
      </c>
      <c r="M56" s="3"/>
      <c r="N56" s="7">
        <f t="shared" si="11"/>
        <v>9.0921368547418968</v>
      </c>
      <c r="O56" s="12"/>
      <c r="P56" s="8">
        <v>16714.64</v>
      </c>
      <c r="Q56" s="3"/>
      <c r="R56" s="7">
        <f t="shared" si="12"/>
        <v>0</v>
      </c>
      <c r="S56" s="3"/>
      <c r="T56" s="8">
        <v>9163</v>
      </c>
      <c r="U56" s="3"/>
      <c r="V56" s="7">
        <f t="shared" si="13"/>
        <v>0</v>
      </c>
      <c r="W56" s="3"/>
      <c r="X56" s="8">
        <f t="shared" si="14"/>
        <v>7551.6399999999994</v>
      </c>
      <c r="Y56" s="3"/>
      <c r="Z56" s="7">
        <f t="shared" si="15"/>
        <v>0.82414493069955252</v>
      </c>
    </row>
    <row r="57" spans="1:26" s="69" customFormat="1" ht="15" customHeight="1" outlineLevel="1" collapsed="1" x14ac:dyDescent="0.25">
      <c r="A57" s="26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8112.9699999999993</v>
      </c>
      <c r="E57" s="2"/>
      <c r="F57" s="6">
        <f t="shared" si="8"/>
        <v>0</v>
      </c>
      <c r="G57" s="2"/>
      <c r="H57" s="2">
        <f>SUM(OSRRefH22_9x_0)</f>
        <v>7000</v>
      </c>
      <c r="I57" s="2"/>
      <c r="J57" s="6">
        <f t="shared" si="9"/>
        <v>0</v>
      </c>
      <c r="K57" s="2"/>
      <c r="L57" s="2">
        <f t="shared" si="10"/>
        <v>1112.9699999999993</v>
      </c>
      <c r="M57" s="2"/>
      <c r="N57" s="6">
        <f t="shared" si="11"/>
        <v>0.15899571428571418</v>
      </c>
      <c r="O57" s="14"/>
      <c r="P57" s="2">
        <f>SUM(OSRRefP22_9x_0)</f>
        <v>75855.91</v>
      </c>
      <c r="Q57" s="2"/>
      <c r="R57" s="6">
        <f t="shared" si="12"/>
        <v>0</v>
      </c>
      <c r="S57" s="2"/>
      <c r="T57" s="2">
        <f>SUM(OSRRefT22_9x_0)</f>
        <v>77000</v>
      </c>
      <c r="U57" s="2"/>
      <c r="V57" s="6">
        <f t="shared" si="13"/>
        <v>0</v>
      </c>
      <c r="W57" s="2"/>
      <c r="X57" s="2">
        <f t="shared" si="14"/>
        <v>-1144.0899999999965</v>
      </c>
      <c r="Y57" s="2"/>
      <c r="Z57" s="6">
        <f t="shared" si="15"/>
        <v>-1.4858311688311643E-2</v>
      </c>
    </row>
    <row r="58" spans="1:26" s="70" customFormat="1" ht="15" hidden="1" customHeight="1" outlineLevel="2" x14ac:dyDescent="0.25">
      <c r="A58" s="25"/>
      <c r="B58" s="12" t="str">
        <f>CONCATENATE("          ","6371"," - ","COMPUTER SOFTWARE MAINTENANCE")</f>
        <v xml:space="preserve">          6371 - COMPUTER SOFTWARE MAINTENANCE</v>
      </c>
      <c r="C58" s="12"/>
      <c r="D58" s="8">
        <v>8006.28</v>
      </c>
      <c r="E58" s="3"/>
      <c r="F58" s="7">
        <f t="shared" si="8"/>
        <v>0</v>
      </c>
      <c r="G58" s="3"/>
      <c r="H58" s="8">
        <v>7000</v>
      </c>
      <c r="I58" s="3"/>
      <c r="J58" s="7">
        <f t="shared" si="9"/>
        <v>0</v>
      </c>
      <c r="K58" s="3"/>
      <c r="L58" s="8">
        <f t="shared" si="10"/>
        <v>1006.2799999999997</v>
      </c>
      <c r="M58" s="3"/>
      <c r="N58" s="7">
        <f t="shared" si="11"/>
        <v>0.14375428571428567</v>
      </c>
      <c r="O58" s="12"/>
      <c r="P58" s="8">
        <v>75316.59</v>
      </c>
      <c r="Q58" s="3"/>
      <c r="R58" s="7">
        <f t="shared" si="12"/>
        <v>0</v>
      </c>
      <c r="S58" s="3"/>
      <c r="T58" s="8">
        <v>77000</v>
      </c>
      <c r="U58" s="3"/>
      <c r="V58" s="7">
        <f t="shared" si="13"/>
        <v>0</v>
      </c>
      <c r="W58" s="3"/>
      <c r="X58" s="8">
        <f t="shared" si="14"/>
        <v>-1683.4100000000035</v>
      </c>
      <c r="Y58" s="3"/>
      <c r="Z58" s="7">
        <f t="shared" si="15"/>
        <v>-2.1862467532467577E-2</v>
      </c>
    </row>
    <row r="59" spans="1:26" s="70" customFormat="1" ht="15" hidden="1" customHeight="1" outlineLevel="2" x14ac:dyDescent="0.25">
      <c r="A59" s="25"/>
      <c r="B59" s="12" t="str">
        <f>CONCATENATE("          ","6373"," - ","MAINTENANCE CONTRACTS")</f>
        <v xml:space="preserve">          6373 - MAINTENANCE CONTRACTS</v>
      </c>
      <c r="C59" s="12"/>
      <c r="D59" s="8">
        <v>106.69</v>
      </c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106.69</v>
      </c>
      <c r="M59" s="3"/>
      <c r="N59" s="7">
        <f t="shared" si="11"/>
        <v>0</v>
      </c>
      <c r="O59" s="12"/>
      <c r="P59" s="8">
        <v>539.32000000000005</v>
      </c>
      <c r="Q59" s="3"/>
      <c r="R59" s="7">
        <f t="shared" si="12"/>
        <v>0</v>
      </c>
      <c r="S59" s="3"/>
      <c r="T59" s="8"/>
      <c r="U59" s="3"/>
      <c r="V59" s="7">
        <f t="shared" si="13"/>
        <v>0</v>
      </c>
      <c r="W59" s="3"/>
      <c r="X59" s="8">
        <f t="shared" si="14"/>
        <v>539.32000000000005</v>
      </c>
      <c r="Y59" s="3"/>
      <c r="Z59" s="7">
        <f t="shared" si="15"/>
        <v>0</v>
      </c>
    </row>
    <row r="60" spans="1:26" s="69" customFormat="1" ht="15" customHeight="1" outlineLevel="1" collapsed="1" x14ac:dyDescent="0.25">
      <c r="A60" s="26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2">
        <f>SUM(OSRRefD22_10x_0)</f>
        <v>0</v>
      </c>
      <c r="E60" s="2"/>
      <c r="F60" s="6">
        <f t="shared" si="8"/>
        <v>0</v>
      </c>
      <c r="G60" s="2"/>
      <c r="H60" s="2">
        <f>SUM(OSRRefH22_10x_0)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SUM(OSRRefP22_10x_0)</f>
        <v>2730.9</v>
      </c>
      <c r="Q60" s="2"/>
      <c r="R60" s="6">
        <f t="shared" si="12"/>
        <v>0</v>
      </c>
      <c r="S60" s="2"/>
      <c r="T60" s="2">
        <f>SUM(OSRRefT22_10x_0)</f>
        <v>1000</v>
      </c>
      <c r="U60" s="2"/>
      <c r="V60" s="6">
        <f t="shared" si="13"/>
        <v>0</v>
      </c>
      <c r="W60" s="2"/>
      <c r="X60" s="2">
        <f t="shared" si="14"/>
        <v>1730.9</v>
      </c>
      <c r="Y60" s="2"/>
      <c r="Z60" s="6">
        <f t="shared" si="15"/>
        <v>1.7309000000000001</v>
      </c>
    </row>
    <row r="61" spans="1:26" s="70" customFormat="1" ht="15" hidden="1" customHeight="1" outlineLevel="2" x14ac:dyDescent="0.25">
      <c r="A61" s="25"/>
      <c r="B61" s="12" t="str">
        <f>CONCATENATE("          ","6258"," - ","MEMBERSHIP DUES")</f>
        <v xml:space="preserve">          6258 - MEMBERSHIP DUES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1452</v>
      </c>
      <c r="Q61" s="3"/>
      <c r="R61" s="7">
        <f t="shared" si="12"/>
        <v>0</v>
      </c>
      <c r="S61" s="3"/>
      <c r="T61" s="8">
        <v>1000</v>
      </c>
      <c r="U61" s="3"/>
      <c r="V61" s="7">
        <f t="shared" si="13"/>
        <v>0</v>
      </c>
      <c r="W61" s="3"/>
      <c r="X61" s="8">
        <f t="shared" si="14"/>
        <v>452</v>
      </c>
      <c r="Y61" s="3"/>
      <c r="Z61" s="7">
        <f t="shared" si="15"/>
        <v>0.45200000000000001</v>
      </c>
    </row>
    <row r="62" spans="1:26" s="70" customFormat="1" ht="15" hidden="1" customHeight="1" outlineLevel="2" x14ac:dyDescent="0.25">
      <c r="A62" s="25"/>
      <c r="B62" s="12" t="str">
        <f>CONCATENATE("          ","6275"," - ","SUBSCRIPTIONS")</f>
        <v xml:space="preserve">          6275 - SUBSCRIPTIONS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1278.9000000000001</v>
      </c>
      <c r="Q62" s="3"/>
      <c r="R62" s="7">
        <f t="shared" si="12"/>
        <v>0</v>
      </c>
      <c r="S62" s="3"/>
      <c r="T62" s="8"/>
      <c r="U62" s="3"/>
      <c r="V62" s="7">
        <f t="shared" si="13"/>
        <v>0</v>
      </c>
      <c r="W62" s="3"/>
      <c r="X62" s="8">
        <f t="shared" si="14"/>
        <v>1278.9000000000001</v>
      </c>
      <c r="Y62" s="3"/>
      <c r="Z62" s="7">
        <f t="shared" si="15"/>
        <v>0</v>
      </c>
    </row>
    <row r="63" spans="1:26" s="69" customFormat="1" ht="15" customHeight="1" outlineLevel="1" collapsed="1" x14ac:dyDescent="0.25">
      <c r="A63" s="26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180.17000000000002</v>
      </c>
      <c r="E63" s="2"/>
      <c r="F63" s="6">
        <f t="shared" si="8"/>
        <v>0</v>
      </c>
      <c r="G63" s="2"/>
      <c r="H63" s="2">
        <f>SUM(OSRRefH22_11x_0)</f>
        <v>1834</v>
      </c>
      <c r="I63" s="2"/>
      <c r="J63" s="6">
        <f t="shared" si="9"/>
        <v>0</v>
      </c>
      <c r="K63" s="2"/>
      <c r="L63" s="2">
        <f t="shared" si="10"/>
        <v>-1653.83</v>
      </c>
      <c r="M63" s="2"/>
      <c r="N63" s="6">
        <f t="shared" si="11"/>
        <v>-0.90176117775354414</v>
      </c>
      <c r="O63" s="14"/>
      <c r="P63" s="2">
        <f>SUM(OSRRefP22_11x_0)</f>
        <v>18394.79</v>
      </c>
      <c r="Q63" s="2"/>
      <c r="R63" s="6">
        <f t="shared" si="12"/>
        <v>0</v>
      </c>
      <c r="S63" s="2"/>
      <c r="T63" s="2">
        <f>SUM(OSRRefT22_11x_0)</f>
        <v>20174</v>
      </c>
      <c r="U63" s="2"/>
      <c r="V63" s="6">
        <f t="shared" si="13"/>
        <v>0</v>
      </c>
      <c r="W63" s="2"/>
      <c r="X63" s="2">
        <f t="shared" si="14"/>
        <v>-1779.2099999999991</v>
      </c>
      <c r="Y63" s="2"/>
      <c r="Z63" s="6">
        <f t="shared" si="15"/>
        <v>-8.8193218994745665E-2</v>
      </c>
    </row>
    <row r="64" spans="1:26" s="70" customFormat="1" ht="15" hidden="1" customHeight="1" outlineLevel="2" x14ac:dyDescent="0.25">
      <c r="A64" s="25"/>
      <c r="B64" s="12" t="str">
        <f>CONCATENATE("          ","6235"," - ","COVID-19 EXPENSES")</f>
        <v xml:space="preserve">          6235 - COVID-19 EXPENSES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2636.13</v>
      </c>
      <c r="Q64" s="3"/>
      <c r="R64" s="7">
        <f t="shared" si="12"/>
        <v>0</v>
      </c>
      <c r="S64" s="3"/>
      <c r="T64" s="8"/>
      <c r="U64" s="3"/>
      <c r="V64" s="7">
        <f t="shared" si="13"/>
        <v>0</v>
      </c>
      <c r="W64" s="3"/>
      <c r="X64" s="8">
        <f t="shared" si="14"/>
        <v>2636.13</v>
      </c>
      <c r="Y64" s="3"/>
      <c r="Z64" s="7">
        <f t="shared" si="15"/>
        <v>0</v>
      </c>
    </row>
    <row r="65" spans="1:26" s="70" customFormat="1" ht="15" hidden="1" customHeight="1" outlineLevel="2" x14ac:dyDescent="0.25">
      <c r="A65" s="25"/>
      <c r="B65" s="12" t="str">
        <f>CONCATENATE("          ","6241"," - ","OFFICE EXPENSE")</f>
        <v xml:space="preserve">          6241 - OFFICE EXPENSE</v>
      </c>
      <c r="C65" s="12"/>
      <c r="D65" s="8">
        <v>87.81</v>
      </c>
      <c r="E65" s="3"/>
      <c r="F65" s="7">
        <f t="shared" si="8"/>
        <v>0</v>
      </c>
      <c r="G65" s="3"/>
      <c r="H65" s="8">
        <v>1417</v>
      </c>
      <c r="I65" s="3"/>
      <c r="J65" s="7">
        <f t="shared" si="9"/>
        <v>0</v>
      </c>
      <c r="K65" s="3"/>
      <c r="L65" s="8">
        <f t="shared" si="10"/>
        <v>-1329.19</v>
      </c>
      <c r="M65" s="3"/>
      <c r="N65" s="7">
        <f t="shared" si="11"/>
        <v>-0.93803105151729005</v>
      </c>
      <c r="O65" s="12"/>
      <c r="P65" s="8">
        <v>2658.87</v>
      </c>
      <c r="Q65" s="3"/>
      <c r="R65" s="7">
        <f t="shared" si="12"/>
        <v>0</v>
      </c>
      <c r="S65" s="3"/>
      <c r="T65" s="8">
        <v>15587</v>
      </c>
      <c r="U65" s="3"/>
      <c r="V65" s="7">
        <f t="shared" si="13"/>
        <v>0</v>
      </c>
      <c r="W65" s="3"/>
      <c r="X65" s="8">
        <f t="shared" si="14"/>
        <v>-12928.130000000001</v>
      </c>
      <c r="Y65" s="3"/>
      <c r="Z65" s="7">
        <f t="shared" si="15"/>
        <v>-0.82941746327067434</v>
      </c>
    </row>
    <row r="66" spans="1:26" s="70" customFormat="1" ht="15" hidden="1" customHeight="1" outlineLevel="2" x14ac:dyDescent="0.25">
      <c r="A66" s="25"/>
      <c r="B66" s="12" t="str">
        <f>CONCATENATE("          ","6244"," - ","SAFETY SUPPLY EXPENSE")</f>
        <v xml:space="preserve">          6244 - SAFETY SUPPLY EXPENSE</v>
      </c>
      <c r="C66" s="12"/>
      <c r="D66" s="8">
        <v>92.36</v>
      </c>
      <c r="E66" s="3"/>
      <c r="F66" s="7">
        <f t="shared" si="8"/>
        <v>0</v>
      </c>
      <c r="G66" s="3"/>
      <c r="H66" s="8">
        <v>417</v>
      </c>
      <c r="I66" s="3"/>
      <c r="J66" s="7">
        <f t="shared" si="9"/>
        <v>0</v>
      </c>
      <c r="K66" s="3"/>
      <c r="L66" s="8">
        <f t="shared" si="10"/>
        <v>-324.64</v>
      </c>
      <c r="M66" s="3"/>
      <c r="N66" s="7">
        <f t="shared" si="11"/>
        <v>-0.77851318944844117</v>
      </c>
      <c r="O66" s="12"/>
      <c r="P66" s="8">
        <v>1253.6300000000001</v>
      </c>
      <c r="Q66" s="3"/>
      <c r="R66" s="7">
        <f t="shared" si="12"/>
        <v>0</v>
      </c>
      <c r="S66" s="3"/>
      <c r="T66" s="8">
        <v>4587</v>
      </c>
      <c r="U66" s="3"/>
      <c r="V66" s="7">
        <f t="shared" si="13"/>
        <v>0</v>
      </c>
      <c r="W66" s="3"/>
      <c r="X66" s="8">
        <f t="shared" si="14"/>
        <v>-3333.37</v>
      </c>
      <c r="Y66" s="3"/>
      <c r="Z66" s="7">
        <f t="shared" si="15"/>
        <v>-0.72669936777850441</v>
      </c>
    </row>
    <row r="67" spans="1:26" s="70" customFormat="1" ht="15" hidden="1" customHeight="1" outlineLevel="2" x14ac:dyDescent="0.25">
      <c r="A67" s="25"/>
      <c r="B67" s="12" t="str">
        <f>CONCATENATE("          ","6248"," - ","UNIFORMS")</f>
        <v xml:space="preserve">          6248 - UNIFORMS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11846.16</v>
      </c>
      <c r="Q67" s="3"/>
      <c r="R67" s="7">
        <f t="shared" si="12"/>
        <v>0</v>
      </c>
      <c r="S67" s="3"/>
      <c r="T67" s="8"/>
      <c r="U67" s="3"/>
      <c r="V67" s="7">
        <f t="shared" si="13"/>
        <v>0</v>
      </c>
      <c r="W67" s="3"/>
      <c r="X67" s="8">
        <f t="shared" si="14"/>
        <v>11846.16</v>
      </c>
      <c r="Y67" s="3"/>
      <c r="Z67" s="7">
        <f t="shared" si="15"/>
        <v>0</v>
      </c>
    </row>
    <row r="68" spans="1:26" s="69" customFormat="1" ht="15" customHeight="1" outlineLevel="1" collapsed="1" x14ac:dyDescent="0.25">
      <c r="A68" s="26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SUM(OSRRefD22_12x_0)</f>
        <v>579.85</v>
      </c>
      <c r="E68" s="2"/>
      <c r="F68" s="6">
        <f t="shared" si="8"/>
        <v>0</v>
      </c>
      <c r="G68" s="2"/>
      <c r="H68" s="2">
        <f>SUM(OSRRefH22_12x_0)</f>
        <v>283</v>
      </c>
      <c r="I68" s="2"/>
      <c r="J68" s="6">
        <f t="shared" si="9"/>
        <v>0</v>
      </c>
      <c r="K68" s="2"/>
      <c r="L68" s="2">
        <f t="shared" si="10"/>
        <v>296.85000000000002</v>
      </c>
      <c r="M68" s="2"/>
      <c r="N68" s="6">
        <f t="shared" si="11"/>
        <v>1.0489399293286219</v>
      </c>
      <c r="O68" s="14"/>
      <c r="P68" s="2">
        <f>SUM(OSRRefP22_12x_0)</f>
        <v>6011.75</v>
      </c>
      <c r="Q68" s="2"/>
      <c r="R68" s="6">
        <f t="shared" si="12"/>
        <v>0</v>
      </c>
      <c r="S68" s="2"/>
      <c r="T68" s="2">
        <f>SUM(OSRRefT22_12x_0)</f>
        <v>3113</v>
      </c>
      <c r="U68" s="2"/>
      <c r="V68" s="6">
        <f t="shared" si="13"/>
        <v>0</v>
      </c>
      <c r="W68" s="2"/>
      <c r="X68" s="2">
        <f t="shared" si="14"/>
        <v>2898.75</v>
      </c>
      <c r="Y68" s="2"/>
      <c r="Z68" s="6">
        <f t="shared" si="15"/>
        <v>0.93117571474461935</v>
      </c>
    </row>
    <row r="69" spans="1:26" s="70" customFormat="1" ht="15" hidden="1" customHeight="1" outlineLevel="2" x14ac:dyDescent="0.25">
      <c r="A69" s="25"/>
      <c r="B69" s="12" t="str">
        <f>CONCATENATE("          ","6309"," - ","TELEPHONE")</f>
        <v xml:space="preserve">          6309 - TELEPHONE</v>
      </c>
      <c r="C69" s="12"/>
      <c r="D69" s="8">
        <v>579.85</v>
      </c>
      <c r="E69" s="3"/>
      <c r="F69" s="7">
        <f t="shared" si="8"/>
        <v>0</v>
      </c>
      <c r="G69" s="3"/>
      <c r="H69" s="8">
        <v>283</v>
      </c>
      <c r="I69" s="3"/>
      <c r="J69" s="7">
        <f t="shared" si="9"/>
        <v>0</v>
      </c>
      <c r="K69" s="3"/>
      <c r="L69" s="8">
        <f t="shared" si="10"/>
        <v>296.85000000000002</v>
      </c>
      <c r="M69" s="3"/>
      <c r="N69" s="7">
        <f t="shared" si="11"/>
        <v>1.0489399293286219</v>
      </c>
      <c r="O69" s="12"/>
      <c r="P69" s="8">
        <v>6011.75</v>
      </c>
      <c r="Q69" s="3"/>
      <c r="R69" s="7">
        <f t="shared" si="12"/>
        <v>0</v>
      </c>
      <c r="S69" s="3"/>
      <c r="T69" s="8">
        <v>3113</v>
      </c>
      <c r="U69" s="3"/>
      <c r="V69" s="7">
        <f t="shared" si="13"/>
        <v>0</v>
      </c>
      <c r="W69" s="3"/>
      <c r="X69" s="8">
        <f t="shared" si="14"/>
        <v>2898.75</v>
      </c>
      <c r="Y69" s="3"/>
      <c r="Z69" s="7">
        <f t="shared" si="15"/>
        <v>0.93117571474461935</v>
      </c>
    </row>
    <row r="70" spans="1:26" s="69" customFormat="1" ht="15" customHeight="1" outlineLevel="1" collapsed="1" x14ac:dyDescent="0.25">
      <c r="A70" s="26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SUM(OSRRefD22_13x_0)</f>
        <v>0</v>
      </c>
      <c r="E70" s="2"/>
      <c r="F70" s="6">
        <f t="shared" si="8"/>
        <v>0</v>
      </c>
      <c r="G70" s="2"/>
      <c r="H70" s="2">
        <f>SUM(OSRRefH22_13x_0)</f>
        <v>333</v>
      </c>
      <c r="I70" s="2"/>
      <c r="J70" s="6">
        <f t="shared" si="9"/>
        <v>0</v>
      </c>
      <c r="K70" s="2"/>
      <c r="L70" s="2">
        <f t="shared" si="10"/>
        <v>-333</v>
      </c>
      <c r="M70" s="2"/>
      <c r="N70" s="6">
        <f t="shared" si="11"/>
        <v>-1</v>
      </c>
      <c r="O70" s="14"/>
      <c r="P70" s="2">
        <f>SUM(OSRRefP22_13x_0)</f>
        <v>475</v>
      </c>
      <c r="Q70" s="2"/>
      <c r="R70" s="6">
        <f t="shared" si="12"/>
        <v>0</v>
      </c>
      <c r="S70" s="2"/>
      <c r="T70" s="2">
        <f>SUM(OSRRefT22_13x_0)</f>
        <v>3663</v>
      </c>
      <c r="U70" s="2"/>
      <c r="V70" s="6">
        <f t="shared" si="13"/>
        <v>0</v>
      </c>
      <c r="W70" s="2"/>
      <c r="X70" s="2">
        <f t="shared" si="14"/>
        <v>-3188</v>
      </c>
      <c r="Y70" s="2"/>
      <c r="Z70" s="6">
        <f t="shared" si="15"/>
        <v>-0.87032487032487027</v>
      </c>
    </row>
    <row r="71" spans="1:26" s="70" customFormat="1" ht="15" hidden="1" customHeight="1" outlineLevel="2" x14ac:dyDescent="0.25">
      <c r="A71" s="25"/>
      <c r="B71" s="12" t="str">
        <f>CONCATENATE("          ","6376"," - ","TRAINING")</f>
        <v xml:space="preserve">          6376 - TRAINING</v>
      </c>
      <c r="C71" s="12"/>
      <c r="D71" s="8"/>
      <c r="E71" s="3"/>
      <c r="F71" s="7">
        <f t="shared" si="8"/>
        <v>0</v>
      </c>
      <c r="G71" s="3"/>
      <c r="H71" s="8">
        <v>333</v>
      </c>
      <c r="I71" s="3"/>
      <c r="J71" s="7">
        <f t="shared" si="9"/>
        <v>0</v>
      </c>
      <c r="K71" s="3"/>
      <c r="L71" s="8">
        <f t="shared" si="10"/>
        <v>-333</v>
      </c>
      <c r="M71" s="3"/>
      <c r="N71" s="7">
        <f t="shared" si="11"/>
        <v>-1</v>
      </c>
      <c r="O71" s="12"/>
      <c r="P71" s="8">
        <v>475</v>
      </c>
      <c r="Q71" s="3"/>
      <c r="R71" s="7">
        <f t="shared" si="12"/>
        <v>0</v>
      </c>
      <c r="S71" s="3"/>
      <c r="T71" s="8">
        <v>3663</v>
      </c>
      <c r="U71" s="3"/>
      <c r="V71" s="7">
        <f t="shared" si="13"/>
        <v>0</v>
      </c>
      <c r="W71" s="3"/>
      <c r="X71" s="8">
        <f t="shared" si="14"/>
        <v>-3188</v>
      </c>
      <c r="Y71" s="3"/>
      <c r="Z71" s="7">
        <f t="shared" si="15"/>
        <v>-0.87032487032487027</v>
      </c>
    </row>
    <row r="72" spans="1:26" s="69" customFormat="1" ht="15" customHeight="1" outlineLevel="1" collapsed="1" x14ac:dyDescent="0.25">
      <c r="A72" s="26"/>
      <c r="B72" s="14" t="str">
        <f>CONCATENATE("     ","Travel                                            ")</f>
        <v xml:space="preserve">     Travel                                            </v>
      </c>
      <c r="C72" s="14"/>
      <c r="D72" s="2">
        <f>SUM(OSRRefD22_14x_0)</f>
        <v>0</v>
      </c>
      <c r="E72" s="2"/>
      <c r="F72" s="6">
        <f t="shared" si="8"/>
        <v>0</v>
      </c>
      <c r="G72" s="2"/>
      <c r="H72" s="2">
        <f>SUM(OSRRefH22_14x_0)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SUM(OSRRefP22_14x_0)</f>
        <v>0</v>
      </c>
      <c r="Q72" s="2"/>
      <c r="R72" s="6">
        <f t="shared" si="12"/>
        <v>0</v>
      </c>
      <c r="S72" s="2"/>
      <c r="T72" s="2">
        <f>SUM(OSRRefT22_14x_0)</f>
        <v>720</v>
      </c>
      <c r="U72" s="2"/>
      <c r="V72" s="6">
        <f t="shared" si="13"/>
        <v>0</v>
      </c>
      <c r="W72" s="2"/>
      <c r="X72" s="2">
        <f t="shared" si="14"/>
        <v>-720</v>
      </c>
      <c r="Y72" s="2"/>
      <c r="Z72" s="6">
        <f t="shared" si="15"/>
        <v>-1</v>
      </c>
    </row>
    <row r="73" spans="1:26" s="70" customFormat="1" ht="15" hidden="1" customHeight="1" outlineLevel="2" x14ac:dyDescent="0.25">
      <c r="A73" s="25"/>
      <c r="B73" s="12" t="str">
        <f>CONCATENATE("          ","6292"," - ","TRAVEL/CONFERENCE")</f>
        <v xml:space="preserve">          6292 - TRAVEL/CONFERENCE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/>
      <c r="Q73" s="3"/>
      <c r="R73" s="7">
        <f t="shared" si="12"/>
        <v>0</v>
      </c>
      <c r="S73" s="3"/>
      <c r="T73" s="8">
        <v>720</v>
      </c>
      <c r="U73" s="3"/>
      <c r="V73" s="7">
        <f t="shared" si="13"/>
        <v>0</v>
      </c>
      <c r="W73" s="3"/>
      <c r="X73" s="8">
        <f t="shared" si="14"/>
        <v>-720</v>
      </c>
      <c r="Y73" s="3"/>
      <c r="Z73" s="7">
        <f t="shared" si="15"/>
        <v>-1</v>
      </c>
    </row>
    <row r="74" spans="1:26" s="65" customFormat="1" ht="15" customHeight="1" x14ac:dyDescent="0.25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x14ac:dyDescent="0.25">
      <c r="A75" s="11"/>
      <c r="B75" s="27" t="s">
        <v>291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25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25">
      <c r="A77" s="11"/>
      <c r="B77" s="28" t="s">
        <v>292</v>
      </c>
      <c r="C77" s="28"/>
      <c r="D77" s="22">
        <f>+D16-D18+D75</f>
        <v>-59203.969999999994</v>
      </c>
      <c r="E77" s="15"/>
      <c r="F77" s="21">
        <f>IF(D$12=0,0,D77/D$12)</f>
        <v>0</v>
      </c>
      <c r="G77" s="15"/>
      <c r="H77" s="22">
        <f>+H16-H18+H75</f>
        <v>-58934.26516968615</v>
      </c>
      <c r="I77" s="15"/>
      <c r="J77" s="21">
        <f>IF(H$12=0,0,H77/H$12)</f>
        <v>0</v>
      </c>
      <c r="K77" s="16"/>
      <c r="L77" s="22">
        <f>+D77-H77</f>
        <v>-269.70483031384356</v>
      </c>
      <c r="M77" s="16"/>
      <c r="N77" s="21">
        <f>IF(H77=0,0,L77/H77)</f>
        <v>4.5763670682462477E-3</v>
      </c>
      <c r="O77" s="27"/>
      <c r="P77" s="22">
        <f>+P16-P18+P75</f>
        <v>-627423.51</v>
      </c>
      <c r="Q77" s="15"/>
      <c r="R77" s="21">
        <f>IF(P$12=0,0,P77/P$12)</f>
        <v>0</v>
      </c>
      <c r="S77" s="15"/>
      <c r="T77" s="22">
        <f>+T16-T18+T75</f>
        <v>-556231.18203623383</v>
      </c>
      <c r="U77" s="15"/>
      <c r="V77" s="21">
        <f>IF(T$12=0,0,T77/T$12)</f>
        <v>0</v>
      </c>
      <c r="W77" s="16"/>
      <c r="X77" s="22">
        <f>+P77-T77</f>
        <v>-71192.327963766176</v>
      </c>
      <c r="Y77" s="16"/>
      <c r="Z77" s="21">
        <f>IF(T77=0,0,X77/T77)</f>
        <v>0.12799053750123737</v>
      </c>
    </row>
    <row r="78" spans="1:26" ht="15" customHeight="1" x14ac:dyDescent="0.25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25">
      <c r="A79" s="49"/>
      <c r="B79" s="11" t="s">
        <v>293</v>
      </c>
      <c r="C79" s="11"/>
      <c r="D79" s="5"/>
      <c r="E79" s="5"/>
      <c r="F79" s="13">
        <f>IF(D$12=0,0,D79/D$12)</f>
        <v>0</v>
      </c>
      <c r="G79" s="5"/>
      <c r="H79" s="5"/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/>
      <c r="Q79" s="5"/>
      <c r="R79" s="13">
        <f>IF(P$12=0,0,P79/P$12)</f>
        <v>0</v>
      </c>
      <c r="S79" s="5"/>
      <c r="T79" s="5"/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25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25">
      <c r="A81" s="11"/>
      <c r="B81" s="28" t="s">
        <v>294</v>
      </c>
      <c r="C81" s="28"/>
      <c r="D81" s="34">
        <f>+D77-D79</f>
        <v>-59203.969999999994</v>
      </c>
      <c r="E81" s="15"/>
      <c r="F81" s="32">
        <f>IF(D$12=0,0,D81/D$12)</f>
        <v>0</v>
      </c>
      <c r="G81" s="15"/>
      <c r="H81" s="34">
        <f>+H77-H79</f>
        <v>-58934.26516968615</v>
      </c>
      <c r="I81" s="15"/>
      <c r="J81" s="32">
        <f>IF(H$12=0,0,H81/H$12)</f>
        <v>0</v>
      </c>
      <c r="K81" s="16"/>
      <c r="L81" s="34">
        <f>D81-H81</f>
        <v>-269.70483031384356</v>
      </c>
      <c r="M81" s="16"/>
      <c r="N81" s="32">
        <f>IF(H81=0,0,L81/H81)</f>
        <v>4.5763670682462477E-3</v>
      </c>
      <c r="O81" s="27"/>
      <c r="P81" s="34">
        <f>+P77-P79</f>
        <v>-627423.51</v>
      </c>
      <c r="Q81" s="15"/>
      <c r="R81" s="32">
        <f>IF(P$12=0,0,P81/P$12)</f>
        <v>0</v>
      </c>
      <c r="S81" s="15"/>
      <c r="T81" s="34">
        <f>+T77-T79</f>
        <v>-556231.18203623383</v>
      </c>
      <c r="U81" s="15"/>
      <c r="V81" s="32">
        <f>IF(T$12=0,0,T81/T$12)</f>
        <v>0</v>
      </c>
      <c r="W81" s="16"/>
      <c r="X81" s="34">
        <f>P81-T81</f>
        <v>-71192.327963766176</v>
      </c>
      <c r="Y81" s="16"/>
      <c r="Z81" s="32">
        <f>IF(T81=0,0,X81/T81)</f>
        <v>0.12799053750123737</v>
      </c>
    </row>
    <row r="82" spans="1:26" ht="15" customHeight="1" x14ac:dyDescent="0.25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25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25">
      <c r="A84" s="11"/>
      <c r="B84" s="28" t="s">
        <v>297</v>
      </c>
      <c r="C84" s="28"/>
      <c r="D84" s="30">
        <f>SUM(D81:D83)</f>
        <v>-59203.969999999994</v>
      </c>
      <c r="E84" s="15"/>
      <c r="F84" s="33">
        <f>IF(D$12=0,0,D84/D$12)</f>
        <v>0</v>
      </c>
      <c r="G84" s="15"/>
      <c r="H84" s="30">
        <f>SUM(H81:H83)</f>
        <v>-58934.26516968615</v>
      </c>
      <c r="I84" s="15"/>
      <c r="J84" s="33">
        <f>IF(H$12=0,0,H84/H$12)</f>
        <v>0</v>
      </c>
      <c r="K84" s="16"/>
      <c r="L84" s="30">
        <f>+D84-H84</f>
        <v>-269.70483031384356</v>
      </c>
      <c r="M84" s="16"/>
      <c r="N84" s="33">
        <f>IF(H84=0,0,L84/H84)</f>
        <v>4.5763670682462477E-3</v>
      </c>
      <c r="O84" s="27"/>
      <c r="P84" s="30">
        <f>SUM(P81:P83)</f>
        <v>-627423.51</v>
      </c>
      <c r="Q84" s="15"/>
      <c r="R84" s="33">
        <f>IF(P$12=0,0,P84/P$12)</f>
        <v>0</v>
      </c>
      <c r="S84" s="15"/>
      <c r="T84" s="30">
        <f>SUM(T81:T83)</f>
        <v>-556231.18203623383</v>
      </c>
      <c r="U84" s="15"/>
      <c r="V84" s="33">
        <f>IF(T$12=0,0,T84/T$12)</f>
        <v>0</v>
      </c>
      <c r="W84" s="16"/>
      <c r="X84" s="30">
        <f>+P84-T84</f>
        <v>-71192.327963766176</v>
      </c>
      <c r="Y84" s="16"/>
      <c r="Z84" s="33">
        <f>IF(T84=0,0,X84/T84)</f>
        <v>0.12799053750123737</v>
      </c>
    </row>
    <row r="85" spans="1:26" ht="15" customHeight="1" x14ac:dyDescent="0.25">
      <c r="A85" s="10"/>
      <c r="C85" s="10"/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25">
      <c r="A86" s="10"/>
      <c r="B86" s="54">
        <v>44727.874527581022</v>
      </c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A87" s="10"/>
      <c r="B87" s="50" t="s">
        <v>298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25">
      <c r="A88" s="10"/>
      <c r="B88" s="58"/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25"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AC982-A8DD-1254-F6CB-839A9D8F6A0E}">
  <sheetPr>
    <tabColor rgb="FF92D050"/>
    <outlinePr summaryBelow="0" summaryRight="0"/>
  </sheetPr>
  <dimension ref="A2:Z8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","204"," - ","Information Technology")</f>
        <v>Department 204 - Information Technology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41261.939999999995</v>
      </c>
      <c r="E18" s="23"/>
      <c r="F18" s="31">
        <f t="shared" ref="F18:F64" si="0">IF(D$12=0,0,D18/D$12)</f>
        <v>0</v>
      </c>
      <c r="G18" s="23"/>
      <c r="H18" s="23" cm="1">
        <f t="array" ref="H18">SUM(OSRRefH22x_0)</f>
        <v>46302.666047384599</v>
      </c>
      <c r="I18" s="23"/>
      <c r="J18" s="31">
        <f t="shared" ref="J18:J64" si="1">IF(H$12=0,0,H18/H$12)</f>
        <v>0</v>
      </c>
      <c r="K18" s="5"/>
      <c r="L18" s="23">
        <f t="shared" ref="L18:L64" si="2">+D18-H18</f>
        <v>-5040.7260473846036</v>
      </c>
      <c r="M18" s="5"/>
      <c r="N18" s="31">
        <f t="shared" ref="N18:N64" si="3">IF(H18=0,0,L18/H18)</f>
        <v>-0.10886470429642417</v>
      </c>
      <c r="O18" s="11"/>
      <c r="P18" s="23" cm="1">
        <f t="array" ref="P18">SUM(OSRRefP22x_0)</f>
        <v>497891.36999999994</v>
      </c>
      <c r="Q18" s="23"/>
      <c r="R18" s="31">
        <f t="shared" ref="R18:R64" si="4">IF(P$12=0,0,P18/P$12)</f>
        <v>0</v>
      </c>
      <c r="S18" s="23"/>
      <c r="T18" s="23" cm="1">
        <f t="array" ref="T18">SUM(OSRRefT22x_0)</f>
        <v>553875.99256861478</v>
      </c>
      <c r="U18" s="23"/>
      <c r="V18" s="31">
        <f t="shared" ref="V18:V64" si="5">IF(T$12=0,0,T18/T$12)</f>
        <v>0</v>
      </c>
      <c r="W18" s="5"/>
      <c r="X18" s="23">
        <f t="shared" ref="X18:X64" si="6">+P18-T18</f>
        <v>-55984.622568614839</v>
      </c>
      <c r="Y18" s="5"/>
      <c r="Z18" s="31">
        <f t="shared" ref="Z18:Z64" si="7">IF(T18=0,0,X18/T18)</f>
        <v>-0.10107790068492525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11054.21</v>
      </c>
      <c r="E19" s="2"/>
      <c r="F19" s="6">
        <f t="shared" si="0"/>
        <v>0</v>
      </c>
      <c r="G19" s="2"/>
      <c r="H19" s="2">
        <f>SUM(OSRRefH22_0x_0)</f>
        <v>11122.496816615394</v>
      </c>
      <c r="I19" s="2"/>
      <c r="J19" s="6">
        <f t="shared" si="1"/>
        <v>0</v>
      </c>
      <c r="K19" s="2"/>
      <c r="L19" s="2">
        <f t="shared" si="2"/>
        <v>-68.286816615394855</v>
      </c>
      <c r="M19" s="2"/>
      <c r="N19" s="6">
        <f t="shared" si="3"/>
        <v>-6.1395222440868017E-3</v>
      </c>
      <c r="O19" s="14"/>
      <c r="P19" s="2">
        <f>SUM(OSRRefP22_0x_0)</f>
        <v>126426.34</v>
      </c>
      <c r="Q19" s="2"/>
      <c r="R19" s="6">
        <f t="shared" si="4"/>
        <v>0</v>
      </c>
      <c r="S19" s="2"/>
      <c r="T19" s="2">
        <f>SUM(OSRRefT22_0x_0)</f>
        <v>127833.96179938479</v>
      </c>
      <c r="U19" s="2"/>
      <c r="V19" s="6">
        <f t="shared" si="5"/>
        <v>0</v>
      </c>
      <c r="W19" s="2"/>
      <c r="X19" s="2">
        <f t="shared" si="6"/>
        <v>-1407.6217993847968</v>
      </c>
      <c r="Y19" s="2"/>
      <c r="Z19" s="6">
        <f t="shared" si="7"/>
        <v>-1.1011328911121731E-2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1474.55</v>
      </c>
      <c r="E20" s="3"/>
      <c r="F20" s="7">
        <f t="shared" si="0"/>
        <v>0</v>
      </c>
      <c r="G20" s="3"/>
      <c r="H20" s="8">
        <v>1810.8128289230799</v>
      </c>
      <c r="I20" s="3"/>
      <c r="J20" s="7">
        <f t="shared" si="1"/>
        <v>0</v>
      </c>
      <c r="K20" s="3"/>
      <c r="L20" s="8">
        <f t="shared" si="2"/>
        <v>-336.26282892307995</v>
      </c>
      <c r="M20" s="3"/>
      <c r="N20" s="7">
        <f t="shared" si="3"/>
        <v>-0.18569717618085407</v>
      </c>
      <c r="O20" s="12"/>
      <c r="P20" s="8">
        <v>17462.66</v>
      </c>
      <c r="Q20" s="3"/>
      <c r="R20" s="7">
        <f t="shared" si="4"/>
        <v>0</v>
      </c>
      <c r="S20" s="3"/>
      <c r="T20" s="8">
        <v>21729.753947076999</v>
      </c>
      <c r="U20" s="3"/>
      <c r="V20" s="7">
        <f t="shared" si="5"/>
        <v>0</v>
      </c>
      <c r="W20" s="3"/>
      <c r="X20" s="8">
        <f t="shared" si="6"/>
        <v>-4267.093947076999</v>
      </c>
      <c r="Y20" s="3"/>
      <c r="Z20" s="7">
        <f t="shared" si="7"/>
        <v>-0.19637102000646409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374.55</v>
      </c>
      <c r="E21" s="3"/>
      <c r="F21" s="7">
        <f t="shared" si="0"/>
        <v>0</v>
      </c>
      <c r="G21" s="3"/>
      <c r="H21" s="8">
        <v>73.350578461538504</v>
      </c>
      <c r="I21" s="3"/>
      <c r="J21" s="7">
        <f t="shared" si="1"/>
        <v>0</v>
      </c>
      <c r="K21" s="3"/>
      <c r="L21" s="8">
        <f t="shared" si="2"/>
        <v>301.19942153846148</v>
      </c>
      <c r="M21" s="3"/>
      <c r="N21" s="7">
        <f t="shared" si="3"/>
        <v>4.1062991983954955</v>
      </c>
      <c r="O21" s="12"/>
      <c r="P21" s="8">
        <v>2937.46</v>
      </c>
      <c r="Q21" s="3"/>
      <c r="R21" s="7">
        <f t="shared" si="4"/>
        <v>0</v>
      </c>
      <c r="S21" s="3"/>
      <c r="T21" s="8">
        <v>880.20694153846205</v>
      </c>
      <c r="U21" s="3"/>
      <c r="V21" s="7">
        <f t="shared" si="5"/>
        <v>0</v>
      </c>
      <c r="W21" s="3"/>
      <c r="X21" s="8">
        <f t="shared" si="6"/>
        <v>2057.2530584615379</v>
      </c>
      <c r="Y21" s="3"/>
      <c r="Z21" s="7">
        <f t="shared" si="7"/>
        <v>2.3372379395983698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4446.67</v>
      </c>
      <c r="E22" s="3"/>
      <c r="F22" s="7">
        <f t="shared" si="0"/>
        <v>0</v>
      </c>
      <c r="G22" s="3"/>
      <c r="H22" s="8">
        <v>5336</v>
      </c>
      <c r="I22" s="3"/>
      <c r="J22" s="7">
        <f t="shared" si="1"/>
        <v>0</v>
      </c>
      <c r="K22" s="3"/>
      <c r="L22" s="8">
        <f t="shared" si="2"/>
        <v>-889.32999999999993</v>
      </c>
      <c r="M22" s="3"/>
      <c r="N22" s="7">
        <f t="shared" si="3"/>
        <v>-0.16666604197901047</v>
      </c>
      <c r="O22" s="12"/>
      <c r="P22" s="8">
        <v>51266.720000000001</v>
      </c>
      <c r="Q22" s="3"/>
      <c r="R22" s="7">
        <f t="shared" si="4"/>
        <v>0</v>
      </c>
      <c r="S22" s="3"/>
      <c r="T22" s="8">
        <v>58696</v>
      </c>
      <c r="U22" s="3"/>
      <c r="V22" s="7">
        <f t="shared" si="5"/>
        <v>0</v>
      </c>
      <c r="W22" s="3"/>
      <c r="X22" s="8">
        <f t="shared" si="6"/>
        <v>-7429.2799999999988</v>
      </c>
      <c r="Y22" s="3"/>
      <c r="Z22" s="7">
        <f t="shared" si="7"/>
        <v>-0.12657216846122391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75.489999999999995</v>
      </c>
      <c r="E23" s="3"/>
      <c r="F23" s="7">
        <f t="shared" si="0"/>
        <v>0</v>
      </c>
      <c r="G23" s="3"/>
      <c r="H23" s="8">
        <v>49.6891015384615</v>
      </c>
      <c r="I23" s="3"/>
      <c r="J23" s="7">
        <f t="shared" si="1"/>
        <v>0</v>
      </c>
      <c r="K23" s="3"/>
      <c r="L23" s="8">
        <f t="shared" si="2"/>
        <v>25.800898461538495</v>
      </c>
      <c r="M23" s="3"/>
      <c r="N23" s="7">
        <f t="shared" si="3"/>
        <v>0.51924662879177819</v>
      </c>
      <c r="O23" s="12"/>
      <c r="P23" s="8">
        <v>592.04999999999995</v>
      </c>
      <c r="Q23" s="3"/>
      <c r="R23" s="7">
        <f t="shared" si="4"/>
        <v>0</v>
      </c>
      <c r="S23" s="3"/>
      <c r="T23" s="8">
        <v>596.269218461538</v>
      </c>
      <c r="U23" s="3"/>
      <c r="V23" s="7">
        <f t="shared" si="5"/>
        <v>0</v>
      </c>
      <c r="W23" s="3"/>
      <c r="X23" s="8">
        <f t="shared" si="6"/>
        <v>-4.2192184615380484</v>
      </c>
      <c r="Y23" s="3"/>
      <c r="Z23" s="7">
        <f t="shared" si="7"/>
        <v>-7.0760293017041037E-3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1850.99</v>
      </c>
      <c r="E24" s="3"/>
      <c r="F24" s="7">
        <f t="shared" si="0"/>
        <v>0</v>
      </c>
      <c r="G24" s="3"/>
      <c r="H24" s="8">
        <v>1567.18461538462</v>
      </c>
      <c r="I24" s="3"/>
      <c r="J24" s="7">
        <f t="shared" si="1"/>
        <v>0</v>
      </c>
      <c r="K24" s="3"/>
      <c r="L24" s="8">
        <f t="shared" si="2"/>
        <v>283.80538461538004</v>
      </c>
      <c r="M24" s="3"/>
      <c r="N24" s="7">
        <f t="shared" si="3"/>
        <v>0.1810925029695549</v>
      </c>
      <c r="O24" s="12"/>
      <c r="P24" s="8">
        <v>21959.49</v>
      </c>
      <c r="Q24" s="3"/>
      <c r="R24" s="7">
        <f t="shared" si="4"/>
        <v>0</v>
      </c>
      <c r="S24" s="3"/>
      <c r="T24" s="8">
        <v>18806.2153846154</v>
      </c>
      <c r="U24" s="3"/>
      <c r="V24" s="7">
        <f t="shared" si="5"/>
        <v>0</v>
      </c>
      <c r="W24" s="3"/>
      <c r="X24" s="8">
        <f t="shared" si="6"/>
        <v>3153.2746153846019</v>
      </c>
      <c r="Y24" s="3"/>
      <c r="Z24" s="7">
        <f t="shared" si="7"/>
        <v>0.16767193988239482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","6117"," - ","RETIREMENT STAFF HOURLY")</f>
        <v xml:space="preserve">          6117 - RETIREMENT STAFF HOURLY</v>
      </c>
      <c r="C26" s="12"/>
      <c r="D26" s="8">
        <v>93.23</v>
      </c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93.23</v>
      </c>
      <c r="M26" s="3"/>
      <c r="N26" s="7">
        <f t="shared" si="3"/>
        <v>0</v>
      </c>
      <c r="O26" s="12"/>
      <c r="P26" s="8">
        <v>93.23</v>
      </c>
      <c r="Q26" s="3"/>
      <c r="R26" s="7">
        <f t="shared" si="4"/>
        <v>0</v>
      </c>
      <c r="S26" s="3"/>
      <c r="T26" s="8"/>
      <c r="U26" s="3"/>
      <c r="V26" s="7">
        <f t="shared" si="5"/>
        <v>0</v>
      </c>
      <c r="W26" s="3"/>
      <c r="X26" s="8">
        <f t="shared" si="6"/>
        <v>93.23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","6118"," - ","VACATION")</f>
        <v xml:space="preserve">          6118 - VACATION</v>
      </c>
      <c r="C27" s="12"/>
      <c r="D27" s="8">
        <v>1493.96</v>
      </c>
      <c r="E27" s="3"/>
      <c r="F27" s="7">
        <f t="shared" si="0"/>
        <v>0</v>
      </c>
      <c r="G27" s="3"/>
      <c r="H27" s="8">
        <v>911.15384615384596</v>
      </c>
      <c r="I27" s="3"/>
      <c r="J27" s="7">
        <f t="shared" si="1"/>
        <v>0</v>
      </c>
      <c r="K27" s="3"/>
      <c r="L27" s="8">
        <f t="shared" si="2"/>
        <v>582.80615384615407</v>
      </c>
      <c r="M27" s="3"/>
      <c r="N27" s="7">
        <f t="shared" si="3"/>
        <v>0.63963528915154111</v>
      </c>
      <c r="O27" s="12"/>
      <c r="P27" s="8">
        <v>17929.169999999998</v>
      </c>
      <c r="Q27" s="3"/>
      <c r="R27" s="7">
        <f t="shared" si="4"/>
        <v>0</v>
      </c>
      <c r="S27" s="3"/>
      <c r="T27" s="8">
        <v>10933.8461538462</v>
      </c>
      <c r="U27" s="3"/>
      <c r="V27" s="7">
        <f t="shared" si="5"/>
        <v>0</v>
      </c>
      <c r="W27" s="3"/>
      <c r="X27" s="8">
        <f t="shared" si="6"/>
        <v>6995.3238461537985</v>
      </c>
      <c r="Y27" s="3"/>
      <c r="Z27" s="7">
        <f t="shared" si="7"/>
        <v>0.63978619670746451</v>
      </c>
    </row>
    <row r="28" spans="1:26" s="70" customFormat="1" ht="15" hidden="1" customHeight="1" outlineLevel="2" x14ac:dyDescent="0.25">
      <c r="A28" s="25"/>
      <c r="B28" s="12" t="str">
        <f>CONCATENATE("          ","6119"," - ","SICK LEAVE")</f>
        <v xml:space="preserve">          6119 - SICK LEAVE</v>
      </c>
      <c r="C28" s="12"/>
      <c r="D28" s="8">
        <v>877.84</v>
      </c>
      <c r="E28" s="3"/>
      <c r="F28" s="7">
        <f t="shared" si="0"/>
        <v>0</v>
      </c>
      <c r="G28" s="3"/>
      <c r="H28" s="8">
        <v>1074.3058461538501</v>
      </c>
      <c r="I28" s="3"/>
      <c r="J28" s="7">
        <f t="shared" si="1"/>
        <v>0</v>
      </c>
      <c r="K28" s="3"/>
      <c r="L28" s="8">
        <f t="shared" si="2"/>
        <v>-196.46584615385007</v>
      </c>
      <c r="M28" s="3"/>
      <c r="N28" s="7">
        <f t="shared" si="3"/>
        <v>-0.18287701482517524</v>
      </c>
      <c r="O28" s="12"/>
      <c r="P28" s="8">
        <v>11277.43</v>
      </c>
      <c r="Q28" s="3"/>
      <c r="R28" s="7">
        <f t="shared" si="4"/>
        <v>0</v>
      </c>
      <c r="S28" s="3"/>
      <c r="T28" s="8">
        <v>12891.6701538462</v>
      </c>
      <c r="U28" s="3"/>
      <c r="V28" s="7">
        <f t="shared" si="5"/>
        <v>0</v>
      </c>
      <c r="W28" s="3"/>
      <c r="X28" s="8">
        <f t="shared" si="6"/>
        <v>-1614.2401538462</v>
      </c>
      <c r="Y28" s="3"/>
      <c r="Z28" s="7">
        <f t="shared" si="7"/>
        <v>-0.12521575052590025</v>
      </c>
    </row>
    <row r="29" spans="1:26" s="70" customFormat="1" ht="15" hidden="1" customHeight="1" outlineLevel="2" x14ac:dyDescent="0.25">
      <c r="A29" s="25"/>
      <c r="B29" s="12" t="str">
        <f>CONCATENATE("          ","6156"," - ","EMPLOYEE MEALS")</f>
        <v xml:space="preserve">          6156 - EMPLOYEE MEALS</v>
      </c>
      <c r="C29" s="12"/>
      <c r="D29" s="8">
        <v>366.93</v>
      </c>
      <c r="E29" s="3"/>
      <c r="F29" s="7">
        <f t="shared" si="0"/>
        <v>0</v>
      </c>
      <c r="G29" s="3"/>
      <c r="H29" s="8">
        <v>300</v>
      </c>
      <c r="I29" s="3"/>
      <c r="J29" s="7">
        <f t="shared" si="1"/>
        <v>0</v>
      </c>
      <c r="K29" s="3"/>
      <c r="L29" s="8">
        <f t="shared" si="2"/>
        <v>66.930000000000007</v>
      </c>
      <c r="M29" s="3"/>
      <c r="N29" s="7">
        <f t="shared" si="3"/>
        <v>0.22310000000000002</v>
      </c>
      <c r="O29" s="12"/>
      <c r="P29" s="8">
        <v>2908.13</v>
      </c>
      <c r="Q29" s="3"/>
      <c r="R29" s="7">
        <f t="shared" si="4"/>
        <v>0</v>
      </c>
      <c r="S29" s="3"/>
      <c r="T29" s="8">
        <v>3300</v>
      </c>
      <c r="U29" s="3"/>
      <c r="V29" s="7">
        <f t="shared" si="5"/>
        <v>0</v>
      </c>
      <c r="W29" s="3"/>
      <c r="X29" s="8">
        <f t="shared" si="6"/>
        <v>-391.86999999999989</v>
      </c>
      <c r="Y29" s="3"/>
      <c r="Z29" s="7">
        <f t="shared" si="7"/>
        <v>-0.11874848484848481</v>
      </c>
    </row>
    <row r="30" spans="1:26" s="69" customFormat="1" ht="15" customHeight="1" outlineLevel="1" collapsed="1" x14ac:dyDescent="0.25">
      <c r="A30" s="26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16984.599999999999</v>
      </c>
      <c r="E30" s="2"/>
      <c r="F30" s="6">
        <f t="shared" si="0"/>
        <v>0</v>
      </c>
      <c r="G30" s="2"/>
      <c r="H30" s="2">
        <f>SUM(OSRRefH22_1x_0)</f>
        <v>21839.169230769199</v>
      </c>
      <c r="I30" s="2"/>
      <c r="J30" s="6">
        <f t="shared" si="1"/>
        <v>0</v>
      </c>
      <c r="K30" s="2"/>
      <c r="L30" s="2">
        <f t="shared" si="2"/>
        <v>-4854.5692307692007</v>
      </c>
      <c r="M30" s="2"/>
      <c r="N30" s="6">
        <f t="shared" si="3"/>
        <v>-0.22228726649224365</v>
      </c>
      <c r="O30" s="14"/>
      <c r="P30" s="2">
        <f>SUM(OSRRefP22_1x_0)</f>
        <v>206500.24</v>
      </c>
      <c r="Q30" s="2"/>
      <c r="R30" s="6">
        <f t="shared" si="4"/>
        <v>0</v>
      </c>
      <c r="S30" s="2"/>
      <c r="T30" s="2">
        <f>SUM(OSRRefT22_1x_0)</f>
        <v>262070.03076922998</v>
      </c>
      <c r="U30" s="2"/>
      <c r="V30" s="6">
        <f t="shared" si="5"/>
        <v>0</v>
      </c>
      <c r="W30" s="2"/>
      <c r="X30" s="2">
        <f t="shared" si="6"/>
        <v>-55569.790769229992</v>
      </c>
      <c r="Y30" s="2"/>
      <c r="Z30" s="6">
        <f t="shared" si="7"/>
        <v>-0.21204176076952069</v>
      </c>
    </row>
    <row r="31" spans="1:26" s="70" customFormat="1" ht="15" hidden="1" customHeight="1" outlineLevel="2" x14ac:dyDescent="0.25">
      <c r="A31" s="25"/>
      <c r="B31" s="12" t="str">
        <f>CONCATENATE("          ","6001"," - ","ADMINISTRATIVE SALARIES")</f>
        <v xml:space="preserve">          6001 - ADMINISTRATIVE SALARIES</v>
      </c>
      <c r="C31" s="12"/>
      <c r="D31" s="8"/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","6002"," - ","STAFF SALARIES")</f>
        <v xml:space="preserve">          6002 - STAFF SALARIES</v>
      </c>
      <c r="C32" s="12"/>
      <c r="D32" s="8">
        <v>16984.599999999999</v>
      </c>
      <c r="E32" s="3"/>
      <c r="F32" s="7">
        <f t="shared" si="0"/>
        <v>0</v>
      </c>
      <c r="G32" s="3"/>
      <c r="H32" s="8">
        <v>16400.769230769201</v>
      </c>
      <c r="I32" s="3"/>
      <c r="J32" s="7">
        <f t="shared" si="1"/>
        <v>0</v>
      </c>
      <c r="K32" s="3"/>
      <c r="L32" s="8">
        <f t="shared" si="2"/>
        <v>583.83076923079716</v>
      </c>
      <c r="M32" s="3"/>
      <c r="N32" s="7">
        <f t="shared" si="3"/>
        <v>3.5597767459314179E-2</v>
      </c>
      <c r="O32" s="12"/>
      <c r="P32" s="8">
        <v>206500.24</v>
      </c>
      <c r="Q32" s="3"/>
      <c r="R32" s="7">
        <f t="shared" si="4"/>
        <v>0</v>
      </c>
      <c r="S32" s="3"/>
      <c r="T32" s="8">
        <v>196809.23076922999</v>
      </c>
      <c r="U32" s="3"/>
      <c r="V32" s="7">
        <f t="shared" si="5"/>
        <v>0</v>
      </c>
      <c r="W32" s="3"/>
      <c r="X32" s="8">
        <f t="shared" si="6"/>
        <v>9691.0092307699961</v>
      </c>
      <c r="Y32" s="3"/>
      <c r="Z32" s="7">
        <f t="shared" si="7"/>
        <v>4.924062348545661E-2</v>
      </c>
    </row>
    <row r="33" spans="1:26" s="70" customFormat="1" ht="15" hidden="1" customHeight="1" outlineLevel="2" x14ac:dyDescent="0.25">
      <c r="A33" s="25"/>
      <c r="B33" s="12" t="str">
        <f>CONCATENATE("          ","6003"," - ","STAFF HOURLY-9 MONTH")</f>
        <v xml:space="preserve">          6003 - STAFF HOURLY-9 MONTH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","6004"," - ","STAFF HOURLY")</f>
        <v xml:space="preserve">          6004 - STAFF HOURLY</v>
      </c>
      <c r="C34" s="12"/>
      <c r="D34" s="8"/>
      <c r="E34" s="3"/>
      <c r="F34" s="7">
        <f t="shared" si="0"/>
        <v>0</v>
      </c>
      <c r="G34" s="3"/>
      <c r="H34" s="8">
        <v>5438.4</v>
      </c>
      <c r="I34" s="3"/>
      <c r="J34" s="7">
        <f t="shared" si="1"/>
        <v>0</v>
      </c>
      <c r="K34" s="3"/>
      <c r="L34" s="8">
        <f t="shared" si="2"/>
        <v>-5438.4</v>
      </c>
      <c r="M34" s="3"/>
      <c r="N34" s="7">
        <f t="shared" si="3"/>
        <v>-1</v>
      </c>
      <c r="O34" s="12"/>
      <c r="P34" s="8"/>
      <c r="Q34" s="3"/>
      <c r="R34" s="7">
        <f t="shared" si="4"/>
        <v>0</v>
      </c>
      <c r="S34" s="3"/>
      <c r="T34" s="8">
        <v>65260.800000000003</v>
      </c>
      <c r="U34" s="3"/>
      <c r="V34" s="7">
        <f t="shared" si="5"/>
        <v>0</v>
      </c>
      <c r="W34" s="3"/>
      <c r="X34" s="8">
        <f t="shared" si="6"/>
        <v>-65260.800000000003</v>
      </c>
      <c r="Y34" s="3"/>
      <c r="Z34" s="7">
        <f t="shared" si="7"/>
        <v>-1</v>
      </c>
    </row>
    <row r="35" spans="1:26" s="70" customFormat="1" ht="15" hidden="1" customHeight="1" outlineLevel="2" x14ac:dyDescent="0.25">
      <c r="A35" s="25"/>
      <c r="B35" s="12" t="str">
        <f>CONCATENATE("          ","6005"," - ","TEMPORARY WAGES-HOURLY")</f>
        <v xml:space="preserve">          6005 - TEMPORARY WAGES-HOURLY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","6006"," - ","TEMPORARY PART TIME")</f>
        <v xml:space="preserve">          6006 - TEMPORARY PART TIME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","6007"," - ","STUDENT HOURLY")</f>
        <v xml:space="preserve">          6007 - STUDENT HOURLY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>
        <v>0</v>
      </c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","6008"," - ","STUDENT HOURLY-FICA EXEMPT")</f>
        <v xml:space="preserve">          6008 - STUDENT HOURLY-FICA EXEMPT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","6009"," - ","TEMPORARY-SEASONAL")</f>
        <v xml:space="preserve">          6009 - TEMPORARY-SEASONAL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","6010"," - ","GRATUITY")</f>
        <v xml:space="preserve">          6010 - GRATUITY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69" customFormat="1" ht="15" customHeight="1" outlineLevel="1" collapsed="1" x14ac:dyDescent="0.25">
      <c r="A41" s="26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0</v>
      </c>
      <c r="E41" s="2"/>
      <c r="F41" s="6">
        <f t="shared" si="0"/>
        <v>0</v>
      </c>
      <c r="G41" s="2"/>
      <c r="H41" s="2">
        <f>SUM(OSRRefH22_2x_0)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SUM(OSRRefP22_2x_0)</f>
        <v>0</v>
      </c>
      <c r="Q41" s="2"/>
      <c r="R41" s="6">
        <f t="shared" si="4"/>
        <v>0</v>
      </c>
      <c r="S41" s="2"/>
      <c r="T41" s="2">
        <f>SUM(OSRRefT22_2x_0)</f>
        <v>0</v>
      </c>
      <c r="U41" s="2"/>
      <c r="V41" s="6">
        <f t="shared" si="5"/>
        <v>0</v>
      </c>
      <c r="W41" s="2"/>
      <c r="X41" s="2">
        <f t="shared" si="6"/>
        <v>0</v>
      </c>
      <c r="Y41" s="2"/>
      <c r="Z41" s="6">
        <f t="shared" si="7"/>
        <v>0</v>
      </c>
    </row>
    <row r="42" spans="1:26" s="70" customFormat="1" ht="15" hidden="1" customHeight="1" outlineLevel="2" x14ac:dyDescent="0.25">
      <c r="A42" s="25"/>
      <c r="B42" s="12" t="str">
        <f>CONCATENATE("          ","6362"," - ","ADVERTISING EXPENSE")</f>
        <v xml:space="preserve">          6362 - ADVERTISING EXPENSE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69" customFormat="1" ht="15" customHeight="1" outlineLevel="1" collapsed="1" x14ac:dyDescent="0.25">
      <c r="A43" s="26"/>
      <c r="B43" s="14" t="str">
        <f>CONCATENATE("     ","Depreciation                                      ")</f>
        <v xml:space="preserve">     Depreciation                                      </v>
      </c>
      <c r="C43" s="14"/>
      <c r="D43" s="2">
        <f>SUM(OSRRefD22_3x_0)</f>
        <v>2140.89</v>
      </c>
      <c r="E43" s="2"/>
      <c r="F43" s="6">
        <f t="shared" si="0"/>
        <v>0</v>
      </c>
      <c r="G43" s="2"/>
      <c r="H43" s="2">
        <f>SUM(OSRRefH22_3x_0)</f>
        <v>2099</v>
      </c>
      <c r="I43" s="2"/>
      <c r="J43" s="6">
        <f t="shared" si="1"/>
        <v>0</v>
      </c>
      <c r="K43" s="2"/>
      <c r="L43" s="2">
        <f t="shared" si="2"/>
        <v>41.889999999999873</v>
      </c>
      <c r="M43" s="2"/>
      <c r="N43" s="6">
        <f t="shared" si="3"/>
        <v>1.9957122439256729E-2</v>
      </c>
      <c r="O43" s="14"/>
      <c r="P43" s="2">
        <f>SUM(OSRRefP22_3x_0)</f>
        <v>32422.23</v>
      </c>
      <c r="Q43" s="2"/>
      <c r="R43" s="6">
        <f t="shared" si="4"/>
        <v>0</v>
      </c>
      <c r="S43" s="2"/>
      <c r="T43" s="2">
        <f>SUM(OSRRefT22_3x_0)</f>
        <v>31960</v>
      </c>
      <c r="U43" s="2"/>
      <c r="V43" s="6">
        <f t="shared" si="5"/>
        <v>0</v>
      </c>
      <c r="W43" s="2"/>
      <c r="X43" s="2">
        <f t="shared" si="6"/>
        <v>462.22999999999956</v>
      </c>
      <c r="Y43" s="2"/>
      <c r="Z43" s="6">
        <f t="shared" si="7"/>
        <v>1.4462765957446794E-2</v>
      </c>
    </row>
    <row r="44" spans="1:26" s="70" customFormat="1" ht="15" hidden="1" customHeight="1" outlineLevel="2" x14ac:dyDescent="0.25">
      <c r="A44" s="25"/>
      <c r="B44" s="12" t="str">
        <f>CONCATENATE("          ","6322"," - ","EQUIPMENT DEPRECIATION EXPENSE")</f>
        <v xml:space="preserve">          6322 - EQUIPMENT DEPRECIATION EXPENSE</v>
      </c>
      <c r="C44" s="12"/>
      <c r="D44" s="8">
        <v>2140.89</v>
      </c>
      <c r="E44" s="3"/>
      <c r="F44" s="7">
        <f t="shared" si="0"/>
        <v>0</v>
      </c>
      <c r="G44" s="3"/>
      <c r="H44" s="8">
        <v>1599</v>
      </c>
      <c r="I44" s="3"/>
      <c r="J44" s="7">
        <f t="shared" si="1"/>
        <v>0</v>
      </c>
      <c r="K44" s="3"/>
      <c r="L44" s="8">
        <f t="shared" si="2"/>
        <v>541.88999999999987</v>
      </c>
      <c r="M44" s="3"/>
      <c r="N44" s="7">
        <f t="shared" si="3"/>
        <v>0.33889305816135079</v>
      </c>
      <c r="O44" s="12"/>
      <c r="P44" s="8">
        <v>32422.23</v>
      </c>
      <c r="Q44" s="3"/>
      <c r="R44" s="7">
        <f t="shared" si="4"/>
        <v>0</v>
      </c>
      <c r="S44" s="3"/>
      <c r="T44" s="8">
        <v>26460</v>
      </c>
      <c r="U44" s="3"/>
      <c r="V44" s="7">
        <f t="shared" si="5"/>
        <v>0</v>
      </c>
      <c r="W44" s="3"/>
      <c r="X44" s="8">
        <f t="shared" si="6"/>
        <v>5962.23</v>
      </c>
      <c r="Y44" s="3"/>
      <c r="Z44" s="7">
        <f t="shared" si="7"/>
        <v>0.22532993197278911</v>
      </c>
    </row>
    <row r="45" spans="1:26" s="70" customFormat="1" ht="15" hidden="1" customHeight="1" outlineLevel="2" x14ac:dyDescent="0.25">
      <c r="A45" s="25"/>
      <c r="B45" s="12" t="str">
        <f>CONCATENATE("          ","6324"," - ","FURNITURE + FIXT DEPRECIATION")</f>
        <v xml:space="preserve">          6324 - FURNITURE + FIXT DEPRECIATION</v>
      </c>
      <c r="C45" s="12"/>
      <c r="D45" s="8"/>
      <c r="E45" s="3"/>
      <c r="F45" s="7">
        <f t="shared" si="0"/>
        <v>0</v>
      </c>
      <c r="G45" s="3"/>
      <c r="H45" s="8">
        <v>500</v>
      </c>
      <c r="I45" s="3"/>
      <c r="J45" s="7">
        <f t="shared" si="1"/>
        <v>0</v>
      </c>
      <c r="K45" s="3"/>
      <c r="L45" s="8">
        <f t="shared" si="2"/>
        <v>-500</v>
      </c>
      <c r="M45" s="3"/>
      <c r="N45" s="7">
        <f t="shared" si="3"/>
        <v>-1</v>
      </c>
      <c r="O45" s="12"/>
      <c r="P45" s="8"/>
      <c r="Q45" s="3"/>
      <c r="R45" s="7">
        <f t="shared" si="4"/>
        <v>0</v>
      </c>
      <c r="S45" s="3"/>
      <c r="T45" s="8">
        <v>5500</v>
      </c>
      <c r="U45" s="3"/>
      <c r="V45" s="7">
        <f t="shared" si="5"/>
        <v>0</v>
      </c>
      <c r="W45" s="3"/>
      <c r="X45" s="8">
        <f t="shared" si="6"/>
        <v>-5500</v>
      </c>
      <c r="Y45" s="3"/>
      <c r="Z45" s="7">
        <f t="shared" si="7"/>
        <v>-1</v>
      </c>
    </row>
    <row r="46" spans="1:26" s="69" customFormat="1" ht="15" customHeight="1" outlineLevel="1" collapsed="1" x14ac:dyDescent="0.25">
      <c r="A46" s="26"/>
      <c r="B46" s="14" t="str">
        <f>CONCATENATE("     ","Insurance                                         ")</f>
        <v xml:space="preserve">     Insurance                                         </v>
      </c>
      <c r="C46" s="14"/>
      <c r="D46" s="2">
        <f>SUM(OSRRefD22_4x_0)</f>
        <v>76.569999999999993</v>
      </c>
      <c r="E46" s="2"/>
      <c r="F46" s="6">
        <f t="shared" si="0"/>
        <v>0</v>
      </c>
      <c r="G46" s="2"/>
      <c r="H46" s="2">
        <f>SUM(OSRRefH22_4x_0)</f>
        <v>75</v>
      </c>
      <c r="I46" s="2"/>
      <c r="J46" s="6">
        <f t="shared" si="1"/>
        <v>0</v>
      </c>
      <c r="K46" s="2"/>
      <c r="L46" s="2">
        <f t="shared" si="2"/>
        <v>1.5699999999999932</v>
      </c>
      <c r="M46" s="2"/>
      <c r="N46" s="6">
        <f t="shared" si="3"/>
        <v>2.0933333333333241E-2</v>
      </c>
      <c r="O46" s="14"/>
      <c r="P46" s="2">
        <f>SUM(OSRRefP22_4x_0)</f>
        <v>842.27</v>
      </c>
      <c r="Q46" s="2"/>
      <c r="R46" s="6">
        <f t="shared" si="4"/>
        <v>0</v>
      </c>
      <c r="S46" s="2"/>
      <c r="T46" s="2">
        <f>SUM(OSRRefT22_4x_0)</f>
        <v>825</v>
      </c>
      <c r="U46" s="2"/>
      <c r="V46" s="6">
        <f t="shared" si="5"/>
        <v>0</v>
      </c>
      <c r="W46" s="2"/>
      <c r="X46" s="2">
        <f t="shared" si="6"/>
        <v>17.269999999999982</v>
      </c>
      <c r="Y46" s="2"/>
      <c r="Z46" s="6">
        <f t="shared" si="7"/>
        <v>2.0933333333333311E-2</v>
      </c>
    </row>
    <row r="47" spans="1:26" s="70" customFormat="1" ht="15" hidden="1" customHeight="1" outlineLevel="2" x14ac:dyDescent="0.25">
      <c r="A47" s="25"/>
      <c r="B47" s="12" t="str">
        <f>CONCATENATE("          ","6314"," - ","LIABILITY INSURANCE")</f>
        <v xml:space="preserve">          6314 - LIABILITY INSURANCE</v>
      </c>
      <c r="C47" s="12"/>
      <c r="D47" s="8">
        <v>76.569999999999993</v>
      </c>
      <c r="E47" s="3"/>
      <c r="F47" s="7">
        <f t="shared" si="0"/>
        <v>0</v>
      </c>
      <c r="G47" s="3"/>
      <c r="H47" s="8">
        <v>75</v>
      </c>
      <c r="I47" s="3"/>
      <c r="J47" s="7">
        <f t="shared" si="1"/>
        <v>0</v>
      </c>
      <c r="K47" s="3"/>
      <c r="L47" s="8">
        <f t="shared" si="2"/>
        <v>1.5699999999999932</v>
      </c>
      <c r="M47" s="3"/>
      <c r="N47" s="7">
        <f t="shared" si="3"/>
        <v>2.0933333333333241E-2</v>
      </c>
      <c r="O47" s="12"/>
      <c r="P47" s="8">
        <v>842.27</v>
      </c>
      <c r="Q47" s="3"/>
      <c r="R47" s="7">
        <f t="shared" si="4"/>
        <v>0</v>
      </c>
      <c r="S47" s="3"/>
      <c r="T47" s="8">
        <v>825</v>
      </c>
      <c r="U47" s="3"/>
      <c r="V47" s="7">
        <f t="shared" si="5"/>
        <v>0</v>
      </c>
      <c r="W47" s="3"/>
      <c r="X47" s="8">
        <f t="shared" si="6"/>
        <v>17.269999999999982</v>
      </c>
      <c r="Y47" s="3"/>
      <c r="Z47" s="7">
        <f t="shared" si="7"/>
        <v>2.0933333333333311E-2</v>
      </c>
    </row>
    <row r="48" spans="1:26" s="69" customFormat="1" ht="15" customHeight="1" outlineLevel="1" collapsed="1" x14ac:dyDescent="0.25">
      <c r="A48" s="26"/>
      <c r="B48" s="14" t="str">
        <f>CONCATENATE("     ","Repair and Maintenance                            ")</f>
        <v xml:space="preserve">     Repair and Maintenance                            </v>
      </c>
      <c r="C48" s="14"/>
      <c r="D48" s="2">
        <f>SUM(OSRRefD22_5x_0)</f>
        <v>9466</v>
      </c>
      <c r="E48" s="2"/>
      <c r="F48" s="6">
        <f t="shared" si="0"/>
        <v>0</v>
      </c>
      <c r="G48" s="2"/>
      <c r="H48" s="2">
        <f>SUM(OSRRefH22_5x_0)</f>
        <v>10467</v>
      </c>
      <c r="I48" s="2"/>
      <c r="J48" s="6">
        <f t="shared" si="1"/>
        <v>0</v>
      </c>
      <c r="K48" s="2"/>
      <c r="L48" s="2">
        <f t="shared" si="2"/>
        <v>-1001</v>
      </c>
      <c r="M48" s="2"/>
      <c r="N48" s="6">
        <f t="shared" si="3"/>
        <v>-9.5633897009649374E-2</v>
      </c>
      <c r="O48" s="14"/>
      <c r="P48" s="2">
        <f>SUM(OSRRefP22_5x_0)</f>
        <v>99522.3</v>
      </c>
      <c r="Q48" s="2"/>
      <c r="R48" s="6">
        <f t="shared" si="4"/>
        <v>0</v>
      </c>
      <c r="S48" s="2"/>
      <c r="T48" s="2">
        <f>SUM(OSRRefT22_5x_0)</f>
        <v>118137</v>
      </c>
      <c r="U48" s="2"/>
      <c r="V48" s="6">
        <f t="shared" si="5"/>
        <v>0</v>
      </c>
      <c r="W48" s="2"/>
      <c r="X48" s="2">
        <f t="shared" si="6"/>
        <v>-18614.699999999997</v>
      </c>
      <c r="Y48" s="2"/>
      <c r="Z48" s="6">
        <f t="shared" si="7"/>
        <v>-0.15756875492013508</v>
      </c>
    </row>
    <row r="49" spans="1:26" s="70" customFormat="1" ht="15" hidden="1" customHeight="1" outlineLevel="2" x14ac:dyDescent="0.25">
      <c r="A49" s="25"/>
      <c r="B49" s="12" t="str">
        <f>CONCATENATE("          ","6371"," - ","COMPUTER SOFTWARE MAINTENANCE")</f>
        <v xml:space="preserve">          6371 - COMPUTER SOFTWARE MAINTENANCE</v>
      </c>
      <c r="C49" s="12"/>
      <c r="D49" s="8"/>
      <c r="E49" s="3"/>
      <c r="F49" s="7">
        <f t="shared" si="0"/>
        <v>0</v>
      </c>
      <c r="G49" s="3"/>
      <c r="H49" s="8">
        <v>1000</v>
      </c>
      <c r="I49" s="3"/>
      <c r="J49" s="7">
        <f t="shared" si="1"/>
        <v>0</v>
      </c>
      <c r="K49" s="3"/>
      <c r="L49" s="8">
        <f t="shared" si="2"/>
        <v>-1000</v>
      </c>
      <c r="M49" s="3"/>
      <c r="N49" s="7">
        <f t="shared" si="3"/>
        <v>-1</v>
      </c>
      <c r="O49" s="12"/>
      <c r="P49" s="8">
        <v>2423.8200000000002</v>
      </c>
      <c r="Q49" s="3"/>
      <c r="R49" s="7">
        <f t="shared" si="4"/>
        <v>0</v>
      </c>
      <c r="S49" s="3"/>
      <c r="T49" s="8">
        <v>11000</v>
      </c>
      <c r="U49" s="3"/>
      <c r="V49" s="7">
        <f t="shared" si="5"/>
        <v>0</v>
      </c>
      <c r="W49" s="3"/>
      <c r="X49" s="8">
        <f t="shared" si="6"/>
        <v>-8576.18</v>
      </c>
      <c r="Y49" s="3"/>
      <c r="Z49" s="7">
        <f t="shared" si="7"/>
        <v>-0.77965272727272728</v>
      </c>
    </row>
    <row r="50" spans="1:26" s="70" customFormat="1" ht="15" hidden="1" customHeight="1" outlineLevel="2" x14ac:dyDescent="0.25">
      <c r="A50" s="25"/>
      <c r="B50" s="12" t="str">
        <f>CONCATENATE("          ","6372"," - ","COMPUTER HARDWARE MAINTENANCE")</f>
        <v xml:space="preserve">          6372 - COMPUTER HARDWARE MAINTENANCE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4760.47</v>
      </c>
      <c r="Q50" s="3"/>
      <c r="R50" s="7">
        <f t="shared" si="4"/>
        <v>0</v>
      </c>
      <c r="S50" s="3"/>
      <c r="T50" s="8">
        <v>3000</v>
      </c>
      <c r="U50" s="3"/>
      <c r="V50" s="7">
        <f t="shared" si="5"/>
        <v>0</v>
      </c>
      <c r="W50" s="3"/>
      <c r="X50" s="8">
        <f t="shared" si="6"/>
        <v>1760.4700000000003</v>
      </c>
      <c r="Y50" s="3"/>
      <c r="Z50" s="7">
        <f t="shared" si="7"/>
        <v>0.58682333333333336</v>
      </c>
    </row>
    <row r="51" spans="1:26" s="70" customFormat="1" ht="15" hidden="1" customHeight="1" outlineLevel="2" x14ac:dyDescent="0.25">
      <c r="A51" s="25"/>
      <c r="B51" s="12" t="str">
        <f>CONCATENATE("          ","6373"," - ","MAINTENANCE CONTRACTS")</f>
        <v xml:space="preserve">          6373 - MAINTENANCE CONTRACTS</v>
      </c>
      <c r="C51" s="12"/>
      <c r="D51" s="8">
        <v>9466</v>
      </c>
      <c r="E51" s="3"/>
      <c r="F51" s="7">
        <f t="shared" si="0"/>
        <v>0</v>
      </c>
      <c r="G51" s="3"/>
      <c r="H51" s="8">
        <v>9467</v>
      </c>
      <c r="I51" s="3"/>
      <c r="J51" s="7">
        <f t="shared" si="1"/>
        <v>0</v>
      </c>
      <c r="K51" s="3"/>
      <c r="L51" s="8">
        <f t="shared" si="2"/>
        <v>-1</v>
      </c>
      <c r="M51" s="3"/>
      <c r="N51" s="7">
        <f t="shared" si="3"/>
        <v>-1.0563008344776593E-4</v>
      </c>
      <c r="O51" s="12"/>
      <c r="P51" s="8">
        <v>92290.49</v>
      </c>
      <c r="Q51" s="3"/>
      <c r="R51" s="7">
        <f t="shared" si="4"/>
        <v>0</v>
      </c>
      <c r="S51" s="3"/>
      <c r="T51" s="8">
        <v>104137</v>
      </c>
      <c r="U51" s="3"/>
      <c r="V51" s="7">
        <f t="shared" si="5"/>
        <v>0</v>
      </c>
      <c r="W51" s="3"/>
      <c r="X51" s="8">
        <f t="shared" si="6"/>
        <v>-11846.509999999995</v>
      </c>
      <c r="Y51" s="3"/>
      <c r="Z51" s="7">
        <f t="shared" si="7"/>
        <v>-0.113758894533163</v>
      </c>
    </row>
    <row r="52" spans="1:26" s="70" customFormat="1" ht="15" hidden="1" customHeight="1" outlineLevel="2" x14ac:dyDescent="0.25">
      <c r="A52" s="25"/>
      <c r="B52" s="12" t="str">
        <f>CONCATENATE("          ","6375"," - ","OUTSIDE REPAIRS &amp; MAINTENANCE")</f>
        <v xml:space="preserve">          6375 - OUTSIDE REPAIRS &amp; MAINTENANCE</v>
      </c>
      <c r="C52" s="12"/>
      <c r="D52" s="8"/>
      <c r="E52" s="3"/>
      <c r="F52" s="7">
        <f t="shared" si="0"/>
        <v>0</v>
      </c>
      <c r="G52" s="3"/>
      <c r="H52" s="8"/>
      <c r="I52" s="3"/>
      <c r="J52" s="7">
        <f t="shared" si="1"/>
        <v>0</v>
      </c>
      <c r="K52" s="3"/>
      <c r="L52" s="8">
        <f t="shared" si="2"/>
        <v>0</v>
      </c>
      <c r="M52" s="3"/>
      <c r="N52" s="7">
        <f t="shared" si="3"/>
        <v>0</v>
      </c>
      <c r="O52" s="12"/>
      <c r="P52" s="8">
        <v>47.52</v>
      </c>
      <c r="Q52" s="3"/>
      <c r="R52" s="7">
        <f t="shared" si="4"/>
        <v>0</v>
      </c>
      <c r="S52" s="3"/>
      <c r="T52" s="8"/>
      <c r="U52" s="3"/>
      <c r="V52" s="7">
        <f t="shared" si="5"/>
        <v>0</v>
      </c>
      <c r="W52" s="3"/>
      <c r="X52" s="8">
        <f t="shared" si="6"/>
        <v>47.52</v>
      </c>
      <c r="Y52" s="3"/>
      <c r="Z52" s="7">
        <f t="shared" si="7"/>
        <v>0</v>
      </c>
    </row>
    <row r="53" spans="1:26" s="69" customFormat="1" ht="15" customHeight="1" outlineLevel="1" collapsed="1" x14ac:dyDescent="0.25">
      <c r="A53" s="26"/>
      <c r="B53" s="14" t="str">
        <f>CONCATENATE("     ","Subscriptions &amp; Dues                              ")</f>
        <v xml:space="preserve">     Subscriptions &amp; Dues                              </v>
      </c>
      <c r="C53" s="14"/>
      <c r="D53" s="2">
        <f>SUM(OSRRefD22_6x_0)</f>
        <v>0</v>
      </c>
      <c r="E53" s="2"/>
      <c r="F53" s="6">
        <f t="shared" si="0"/>
        <v>0</v>
      </c>
      <c r="G53" s="2"/>
      <c r="H53" s="2">
        <f>SUM(OSRRefH22_6x_0)</f>
        <v>0</v>
      </c>
      <c r="I53" s="2"/>
      <c r="J53" s="6">
        <f t="shared" si="1"/>
        <v>0</v>
      </c>
      <c r="K53" s="2"/>
      <c r="L53" s="2">
        <f t="shared" si="2"/>
        <v>0</v>
      </c>
      <c r="M53" s="2"/>
      <c r="N53" s="6">
        <f t="shared" si="3"/>
        <v>0</v>
      </c>
      <c r="O53" s="14"/>
      <c r="P53" s="2">
        <f>SUM(OSRRefP22_6x_0)</f>
        <v>0</v>
      </c>
      <c r="Q53" s="2"/>
      <c r="R53" s="6">
        <f t="shared" si="4"/>
        <v>0</v>
      </c>
      <c r="S53" s="2"/>
      <c r="T53" s="2">
        <f>SUM(OSRRefT22_6x_0)</f>
        <v>850</v>
      </c>
      <c r="U53" s="2"/>
      <c r="V53" s="6">
        <f t="shared" si="5"/>
        <v>0</v>
      </c>
      <c r="W53" s="2"/>
      <c r="X53" s="2">
        <f t="shared" si="6"/>
        <v>-850</v>
      </c>
      <c r="Y53" s="2"/>
      <c r="Z53" s="6">
        <f t="shared" si="7"/>
        <v>-1</v>
      </c>
    </row>
    <row r="54" spans="1:26" s="70" customFormat="1" ht="15" hidden="1" customHeight="1" outlineLevel="2" x14ac:dyDescent="0.25">
      <c r="A54" s="25"/>
      <c r="B54" s="12" t="str">
        <f>CONCATENATE("          ","6258"," - ","MEMBERSHIP DUES")</f>
        <v xml:space="preserve">          6258 - MEMBERSHIP DUES</v>
      </c>
      <c r="C54" s="12"/>
      <c r="D54" s="8"/>
      <c r="E54" s="3"/>
      <c r="F54" s="7">
        <f t="shared" si="0"/>
        <v>0</v>
      </c>
      <c r="G54" s="3"/>
      <c r="H54" s="8"/>
      <c r="I54" s="3"/>
      <c r="J54" s="7">
        <f t="shared" si="1"/>
        <v>0</v>
      </c>
      <c r="K54" s="3"/>
      <c r="L54" s="8">
        <f t="shared" si="2"/>
        <v>0</v>
      </c>
      <c r="M54" s="3"/>
      <c r="N54" s="7">
        <f t="shared" si="3"/>
        <v>0</v>
      </c>
      <c r="O54" s="12"/>
      <c r="P54" s="8"/>
      <c r="Q54" s="3"/>
      <c r="R54" s="7">
        <f t="shared" si="4"/>
        <v>0</v>
      </c>
      <c r="S54" s="3"/>
      <c r="T54" s="8">
        <v>250</v>
      </c>
      <c r="U54" s="3"/>
      <c r="V54" s="7">
        <f t="shared" si="5"/>
        <v>0</v>
      </c>
      <c r="W54" s="3"/>
      <c r="X54" s="8">
        <f t="shared" si="6"/>
        <v>-250</v>
      </c>
      <c r="Y54" s="3"/>
      <c r="Z54" s="7">
        <f t="shared" si="7"/>
        <v>-1</v>
      </c>
    </row>
    <row r="55" spans="1:26" s="70" customFormat="1" ht="15" hidden="1" customHeight="1" outlineLevel="2" x14ac:dyDescent="0.25">
      <c r="A55" s="25"/>
      <c r="B55" s="12" t="str">
        <f>CONCATENATE("          ","6275"," - ","SUBSCRIPTIONS")</f>
        <v xml:space="preserve">          6275 - SUBSCRIPTIONS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/>
      <c r="Q55" s="3"/>
      <c r="R55" s="7">
        <f t="shared" si="4"/>
        <v>0</v>
      </c>
      <c r="S55" s="3"/>
      <c r="T55" s="8">
        <v>600</v>
      </c>
      <c r="U55" s="3"/>
      <c r="V55" s="7">
        <f t="shared" si="5"/>
        <v>0</v>
      </c>
      <c r="W55" s="3"/>
      <c r="X55" s="8">
        <f t="shared" si="6"/>
        <v>-600</v>
      </c>
      <c r="Y55" s="3"/>
      <c r="Z55" s="7">
        <f t="shared" si="7"/>
        <v>-1</v>
      </c>
    </row>
    <row r="56" spans="1:26" s="69" customFormat="1" ht="15" customHeight="1" outlineLevel="1" collapsed="1" x14ac:dyDescent="0.25">
      <c r="A56" s="26"/>
      <c r="B56" s="14" t="str">
        <f>CONCATENATE("     ","Supplies                                          ")</f>
        <v xml:space="preserve">     Supplies                                          </v>
      </c>
      <c r="C56" s="14"/>
      <c r="D56" s="2">
        <f>SUM(OSRRefD22_7x_0)</f>
        <v>360.7</v>
      </c>
      <c r="E56" s="2"/>
      <c r="F56" s="6">
        <f t="shared" si="0"/>
        <v>0</v>
      </c>
      <c r="G56" s="2"/>
      <c r="H56" s="2">
        <f>SUM(OSRRefH22_7x_0)</f>
        <v>100</v>
      </c>
      <c r="I56" s="2"/>
      <c r="J56" s="6">
        <f t="shared" si="1"/>
        <v>0</v>
      </c>
      <c r="K56" s="2"/>
      <c r="L56" s="2">
        <f t="shared" si="2"/>
        <v>260.7</v>
      </c>
      <c r="M56" s="2"/>
      <c r="N56" s="6">
        <f t="shared" si="3"/>
        <v>2.6069999999999998</v>
      </c>
      <c r="O56" s="14"/>
      <c r="P56" s="2">
        <f>SUM(OSRRefP22_7x_0)</f>
        <v>21935.78</v>
      </c>
      <c r="Q56" s="2"/>
      <c r="R56" s="6">
        <f t="shared" si="4"/>
        <v>0</v>
      </c>
      <c r="S56" s="2"/>
      <c r="T56" s="2">
        <f>SUM(OSRRefT22_7x_0)</f>
        <v>1100</v>
      </c>
      <c r="U56" s="2"/>
      <c r="V56" s="6">
        <f t="shared" si="5"/>
        <v>0</v>
      </c>
      <c r="W56" s="2"/>
      <c r="X56" s="2">
        <f t="shared" si="6"/>
        <v>20835.78</v>
      </c>
      <c r="Y56" s="2"/>
      <c r="Z56" s="6">
        <f t="shared" si="7"/>
        <v>18.941618181818182</v>
      </c>
    </row>
    <row r="57" spans="1:26" s="70" customFormat="1" ht="15" hidden="1" customHeight="1" outlineLevel="2" x14ac:dyDescent="0.25">
      <c r="A57" s="25"/>
      <c r="B57" s="12" t="str">
        <f>CONCATENATE("          ","6241"," - ","OFFICE EXPENSE")</f>
        <v xml:space="preserve">          6241 - OFFICE EXPENSE</v>
      </c>
      <c r="C57" s="12"/>
      <c r="D57" s="8">
        <v>360.7</v>
      </c>
      <c r="E57" s="3"/>
      <c r="F57" s="7">
        <f t="shared" si="0"/>
        <v>0</v>
      </c>
      <c r="G57" s="3"/>
      <c r="H57" s="8">
        <v>100</v>
      </c>
      <c r="I57" s="3"/>
      <c r="J57" s="7">
        <f t="shared" si="1"/>
        <v>0</v>
      </c>
      <c r="K57" s="3"/>
      <c r="L57" s="8">
        <f t="shared" si="2"/>
        <v>260.7</v>
      </c>
      <c r="M57" s="3"/>
      <c r="N57" s="7">
        <f t="shared" si="3"/>
        <v>2.6069999999999998</v>
      </c>
      <c r="O57" s="12"/>
      <c r="P57" s="8">
        <v>21935.78</v>
      </c>
      <c r="Q57" s="3"/>
      <c r="R57" s="7">
        <f t="shared" si="4"/>
        <v>0</v>
      </c>
      <c r="S57" s="3"/>
      <c r="T57" s="8">
        <v>1100</v>
      </c>
      <c r="U57" s="3"/>
      <c r="V57" s="7">
        <f t="shared" si="5"/>
        <v>0</v>
      </c>
      <c r="W57" s="3"/>
      <c r="X57" s="8">
        <f t="shared" si="6"/>
        <v>20835.78</v>
      </c>
      <c r="Y57" s="3"/>
      <c r="Z57" s="7">
        <f t="shared" si="7"/>
        <v>18.941618181818182</v>
      </c>
    </row>
    <row r="58" spans="1:26" s="69" customFormat="1" ht="15" customHeight="1" outlineLevel="1" collapsed="1" x14ac:dyDescent="0.25">
      <c r="A58" s="26"/>
      <c r="B58" s="14" t="str">
        <f>CONCATENATE("     ","Telephone/Data Lines                              ")</f>
        <v xml:space="preserve">     Telephone/Data Lines                              </v>
      </c>
      <c r="C58" s="14"/>
      <c r="D58" s="2">
        <f>SUM(OSRRefD22_8x_0)</f>
        <v>938.98</v>
      </c>
      <c r="E58" s="2"/>
      <c r="F58" s="6">
        <f t="shared" si="0"/>
        <v>0</v>
      </c>
      <c r="G58" s="2"/>
      <c r="H58" s="2">
        <f>SUM(OSRRefH22_8x_0)</f>
        <v>600</v>
      </c>
      <c r="I58" s="2"/>
      <c r="J58" s="6">
        <f t="shared" si="1"/>
        <v>0</v>
      </c>
      <c r="K58" s="2"/>
      <c r="L58" s="2">
        <f t="shared" si="2"/>
        <v>338.98</v>
      </c>
      <c r="M58" s="2"/>
      <c r="N58" s="6">
        <f t="shared" si="3"/>
        <v>0.56496666666666673</v>
      </c>
      <c r="O58" s="14"/>
      <c r="P58" s="2">
        <f>SUM(OSRRefP22_8x_0)</f>
        <v>9504.2199999999993</v>
      </c>
      <c r="Q58" s="2"/>
      <c r="R58" s="6">
        <f t="shared" si="4"/>
        <v>0</v>
      </c>
      <c r="S58" s="2"/>
      <c r="T58" s="2">
        <f>SUM(OSRRefT22_8x_0)</f>
        <v>5600</v>
      </c>
      <c r="U58" s="2"/>
      <c r="V58" s="6">
        <f t="shared" si="5"/>
        <v>0</v>
      </c>
      <c r="W58" s="2"/>
      <c r="X58" s="2">
        <f t="shared" si="6"/>
        <v>3904.2199999999993</v>
      </c>
      <c r="Y58" s="2"/>
      <c r="Z58" s="6">
        <f t="shared" si="7"/>
        <v>0.69718214285714275</v>
      </c>
    </row>
    <row r="59" spans="1:26" s="70" customFormat="1" ht="15" hidden="1" customHeight="1" outlineLevel="2" x14ac:dyDescent="0.25">
      <c r="A59" s="25"/>
      <c r="B59" s="12" t="str">
        <f>CONCATENATE("          ","6303"," - ","DATA PHONE LINES")</f>
        <v xml:space="preserve">          6303 - DATA PHONE LINES</v>
      </c>
      <c r="C59" s="12"/>
      <c r="D59" s="8">
        <v>176.98</v>
      </c>
      <c r="E59" s="3"/>
      <c r="F59" s="7">
        <f t="shared" si="0"/>
        <v>0</v>
      </c>
      <c r="G59" s="3"/>
      <c r="H59" s="8">
        <v>300</v>
      </c>
      <c r="I59" s="3"/>
      <c r="J59" s="7">
        <f t="shared" si="1"/>
        <v>0</v>
      </c>
      <c r="K59" s="3"/>
      <c r="L59" s="8">
        <f t="shared" si="2"/>
        <v>-123.02000000000001</v>
      </c>
      <c r="M59" s="3"/>
      <c r="N59" s="7">
        <f t="shared" si="3"/>
        <v>-0.41006666666666669</v>
      </c>
      <c r="O59" s="12"/>
      <c r="P59" s="8">
        <v>1867.77</v>
      </c>
      <c r="Q59" s="3"/>
      <c r="R59" s="7">
        <f t="shared" si="4"/>
        <v>0</v>
      </c>
      <c r="S59" s="3"/>
      <c r="T59" s="8">
        <v>2300</v>
      </c>
      <c r="U59" s="3"/>
      <c r="V59" s="7">
        <f t="shared" si="5"/>
        <v>0</v>
      </c>
      <c r="W59" s="3"/>
      <c r="X59" s="8">
        <f t="shared" si="6"/>
        <v>-432.23</v>
      </c>
      <c r="Y59" s="3"/>
      <c r="Z59" s="7">
        <f t="shared" si="7"/>
        <v>-0.18792608695652174</v>
      </c>
    </row>
    <row r="60" spans="1:26" s="70" customFormat="1" ht="15" hidden="1" customHeight="1" outlineLevel="2" x14ac:dyDescent="0.25">
      <c r="A60" s="25"/>
      <c r="B60" s="12" t="str">
        <f>CONCATENATE("          ","6309"," - ","TELEPHONE")</f>
        <v xml:space="preserve">          6309 - TELEPHONE</v>
      </c>
      <c r="C60" s="12"/>
      <c r="D60" s="8">
        <v>762</v>
      </c>
      <c r="E60" s="3"/>
      <c r="F60" s="7">
        <f t="shared" si="0"/>
        <v>0</v>
      </c>
      <c r="G60" s="3"/>
      <c r="H60" s="8">
        <v>300</v>
      </c>
      <c r="I60" s="3"/>
      <c r="J60" s="7">
        <f t="shared" si="1"/>
        <v>0</v>
      </c>
      <c r="K60" s="3"/>
      <c r="L60" s="8">
        <f t="shared" si="2"/>
        <v>462</v>
      </c>
      <c r="M60" s="3"/>
      <c r="N60" s="7">
        <f t="shared" si="3"/>
        <v>1.54</v>
      </c>
      <c r="O60" s="12"/>
      <c r="P60" s="8">
        <v>7636.45</v>
      </c>
      <c r="Q60" s="3"/>
      <c r="R60" s="7">
        <f t="shared" si="4"/>
        <v>0</v>
      </c>
      <c r="S60" s="3"/>
      <c r="T60" s="8">
        <v>3300</v>
      </c>
      <c r="U60" s="3"/>
      <c r="V60" s="7">
        <f t="shared" si="5"/>
        <v>0</v>
      </c>
      <c r="W60" s="3"/>
      <c r="X60" s="8">
        <f t="shared" si="6"/>
        <v>4336.45</v>
      </c>
      <c r="Y60" s="3"/>
      <c r="Z60" s="7">
        <f t="shared" si="7"/>
        <v>1.3140757575757576</v>
      </c>
    </row>
    <row r="61" spans="1:26" s="69" customFormat="1" ht="15" customHeight="1" outlineLevel="1" collapsed="1" x14ac:dyDescent="0.25">
      <c r="A61" s="26"/>
      <c r="B61" s="14" t="str">
        <f>CONCATENATE("     ","Training                                          ")</f>
        <v xml:space="preserve">     Training                                          </v>
      </c>
      <c r="C61" s="14"/>
      <c r="D61" s="2">
        <f>SUM(OSRRefD22_9x_0)</f>
        <v>239.99</v>
      </c>
      <c r="E61" s="2"/>
      <c r="F61" s="6">
        <f t="shared" si="0"/>
        <v>0</v>
      </c>
      <c r="G61" s="2"/>
      <c r="H61" s="2">
        <f>SUM(OSRRefH22_9x_0)</f>
        <v>0</v>
      </c>
      <c r="I61" s="2"/>
      <c r="J61" s="6">
        <f t="shared" si="1"/>
        <v>0</v>
      </c>
      <c r="K61" s="2"/>
      <c r="L61" s="2">
        <f t="shared" si="2"/>
        <v>239.99</v>
      </c>
      <c r="M61" s="2"/>
      <c r="N61" s="6">
        <f t="shared" si="3"/>
        <v>0</v>
      </c>
      <c r="O61" s="14"/>
      <c r="P61" s="2">
        <f>SUM(OSRRefP22_9x_0)</f>
        <v>737.99</v>
      </c>
      <c r="Q61" s="2"/>
      <c r="R61" s="6">
        <f t="shared" si="4"/>
        <v>0</v>
      </c>
      <c r="S61" s="2"/>
      <c r="T61" s="2">
        <f>SUM(OSRRefT22_9x_0)</f>
        <v>0</v>
      </c>
      <c r="U61" s="2"/>
      <c r="V61" s="6">
        <f t="shared" si="5"/>
        <v>0</v>
      </c>
      <c r="W61" s="2"/>
      <c r="X61" s="2">
        <f t="shared" si="6"/>
        <v>737.99</v>
      </c>
      <c r="Y61" s="2"/>
      <c r="Z61" s="6">
        <f t="shared" si="7"/>
        <v>0</v>
      </c>
    </row>
    <row r="62" spans="1:26" s="70" customFormat="1" ht="15" hidden="1" customHeight="1" outlineLevel="2" x14ac:dyDescent="0.25">
      <c r="A62" s="25"/>
      <c r="B62" s="12" t="str">
        <f>CONCATENATE("          ","6376"," - ","TRAINING")</f>
        <v xml:space="preserve">          6376 - TRAINING</v>
      </c>
      <c r="C62" s="12"/>
      <c r="D62" s="8">
        <v>239.99</v>
      </c>
      <c r="E62" s="3"/>
      <c r="F62" s="7">
        <f t="shared" si="0"/>
        <v>0</v>
      </c>
      <c r="G62" s="3"/>
      <c r="H62" s="8"/>
      <c r="I62" s="3"/>
      <c r="J62" s="7">
        <f t="shared" si="1"/>
        <v>0</v>
      </c>
      <c r="K62" s="3"/>
      <c r="L62" s="8">
        <f t="shared" si="2"/>
        <v>239.99</v>
      </c>
      <c r="M62" s="3"/>
      <c r="N62" s="7">
        <f t="shared" si="3"/>
        <v>0</v>
      </c>
      <c r="O62" s="12"/>
      <c r="P62" s="8">
        <v>737.99</v>
      </c>
      <c r="Q62" s="3"/>
      <c r="R62" s="7">
        <f t="shared" si="4"/>
        <v>0</v>
      </c>
      <c r="S62" s="3"/>
      <c r="T62" s="8"/>
      <c r="U62" s="3"/>
      <c r="V62" s="7">
        <f t="shared" si="5"/>
        <v>0</v>
      </c>
      <c r="W62" s="3"/>
      <c r="X62" s="8">
        <f t="shared" si="6"/>
        <v>737.99</v>
      </c>
      <c r="Y62" s="3"/>
      <c r="Z62" s="7">
        <f t="shared" si="7"/>
        <v>0</v>
      </c>
    </row>
    <row r="63" spans="1:26" s="69" customFormat="1" ht="15" customHeight="1" outlineLevel="1" collapsed="1" x14ac:dyDescent="0.25">
      <c r="A63" s="26"/>
      <c r="B63" s="14" t="str">
        <f>CONCATENATE("     ","Travel                                            ")</f>
        <v xml:space="preserve">     Travel                                            </v>
      </c>
      <c r="C63" s="14"/>
      <c r="D63" s="2">
        <f>SUM(OSRRefD22_10x_0)</f>
        <v>0</v>
      </c>
      <c r="E63" s="2"/>
      <c r="F63" s="6">
        <f t="shared" si="0"/>
        <v>0</v>
      </c>
      <c r="G63" s="2"/>
      <c r="H63" s="2">
        <f>SUM(OSRRefH22_10x_0)</f>
        <v>0</v>
      </c>
      <c r="I63" s="2"/>
      <c r="J63" s="6">
        <f t="shared" si="1"/>
        <v>0</v>
      </c>
      <c r="K63" s="2"/>
      <c r="L63" s="2">
        <f t="shared" si="2"/>
        <v>0</v>
      </c>
      <c r="M63" s="2"/>
      <c r="N63" s="6">
        <f t="shared" si="3"/>
        <v>0</v>
      </c>
      <c r="O63" s="14"/>
      <c r="P63" s="2">
        <f>SUM(OSRRefP22_10x_0)</f>
        <v>0</v>
      </c>
      <c r="Q63" s="2"/>
      <c r="R63" s="6">
        <f t="shared" si="4"/>
        <v>0</v>
      </c>
      <c r="S63" s="2"/>
      <c r="T63" s="2">
        <f>SUM(OSRRefT22_10x_0)</f>
        <v>5500</v>
      </c>
      <c r="U63" s="2"/>
      <c r="V63" s="6">
        <f t="shared" si="5"/>
        <v>0</v>
      </c>
      <c r="W63" s="2"/>
      <c r="X63" s="2">
        <f t="shared" si="6"/>
        <v>-5500</v>
      </c>
      <c r="Y63" s="2"/>
      <c r="Z63" s="6">
        <f t="shared" si="7"/>
        <v>-1</v>
      </c>
    </row>
    <row r="64" spans="1:26" s="70" customFormat="1" ht="15" hidden="1" customHeight="1" outlineLevel="2" x14ac:dyDescent="0.25">
      <c r="A64" s="25"/>
      <c r="B64" s="12" t="str">
        <f>CONCATENATE("          ","6292"," - ","TRAVEL/CONFERENCE")</f>
        <v xml:space="preserve">          6292 - TRAVEL/CONFERENCE</v>
      </c>
      <c r="C64" s="12"/>
      <c r="D64" s="8"/>
      <c r="E64" s="3"/>
      <c r="F64" s="7">
        <f t="shared" si="0"/>
        <v>0</v>
      </c>
      <c r="G64" s="3"/>
      <c r="H64" s="8"/>
      <c r="I64" s="3"/>
      <c r="J64" s="7">
        <f t="shared" si="1"/>
        <v>0</v>
      </c>
      <c r="K64" s="3"/>
      <c r="L64" s="8">
        <f t="shared" si="2"/>
        <v>0</v>
      </c>
      <c r="M64" s="3"/>
      <c r="N64" s="7">
        <f t="shared" si="3"/>
        <v>0</v>
      </c>
      <c r="O64" s="12"/>
      <c r="P64" s="8">
        <v>0</v>
      </c>
      <c r="Q64" s="3"/>
      <c r="R64" s="7">
        <f t="shared" si="4"/>
        <v>0</v>
      </c>
      <c r="S64" s="3"/>
      <c r="T64" s="8">
        <v>5500</v>
      </c>
      <c r="U64" s="3"/>
      <c r="V64" s="7">
        <f t="shared" si="5"/>
        <v>0</v>
      </c>
      <c r="W64" s="3"/>
      <c r="X64" s="8">
        <f t="shared" si="6"/>
        <v>-5500</v>
      </c>
      <c r="Y64" s="3"/>
      <c r="Z64" s="7">
        <f t="shared" si="7"/>
        <v>-1</v>
      </c>
    </row>
    <row r="65" spans="1:26" s="65" customFormat="1" ht="15" customHeight="1" x14ac:dyDescent="0.25">
      <c r="A65" s="35"/>
      <c r="B65" s="35"/>
      <c r="C65" s="35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25">
      <c r="A66" s="11"/>
      <c r="B66" s="27" t="s">
        <v>291</v>
      </c>
      <c r="C66" s="11"/>
      <c r="D66" s="5">
        <f>SUM(0)</f>
        <v>0</v>
      </c>
      <c r="E66" s="5"/>
      <c r="F66" s="13">
        <f>IF(D$12=0,0,D66/D$12)</f>
        <v>0</v>
      </c>
      <c r="G66" s="5"/>
      <c r="H66" s="5">
        <f>SUM(0)</f>
        <v>0</v>
      </c>
      <c r="I66" s="5"/>
      <c r="J66" s="13">
        <f>IF(H$12=0,0,H66/H$12)</f>
        <v>0</v>
      </c>
      <c r="K66" s="5"/>
      <c r="L66" s="5">
        <f>+D66-H66</f>
        <v>0</v>
      </c>
      <c r="M66" s="5"/>
      <c r="N66" s="13">
        <f>IF(H66=0,0,L66/H66)</f>
        <v>0</v>
      </c>
      <c r="O66" s="11"/>
      <c r="P66" s="5">
        <f>SUM(0)</f>
        <v>0</v>
      </c>
      <c r="Q66" s="5"/>
      <c r="R66" s="13">
        <f>IF(P$12=0,0,P66/P$12)</f>
        <v>0</v>
      </c>
      <c r="S66" s="5"/>
      <c r="T66" s="5">
        <f>SUM(0)</f>
        <v>0</v>
      </c>
      <c r="U66" s="5"/>
      <c r="V66" s="13">
        <f>IF(T$12=0,0,T66/T$12)</f>
        <v>0</v>
      </c>
      <c r="W66" s="5"/>
      <c r="X66" s="5">
        <f>+P66-T66</f>
        <v>0</v>
      </c>
      <c r="Y66" s="5"/>
      <c r="Z66" s="13">
        <f>IF(T66=0,0,X66/T66)</f>
        <v>0</v>
      </c>
    </row>
    <row r="67" spans="1:26" ht="15" customHeight="1" x14ac:dyDescent="0.25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3" customFormat="1" ht="15" customHeight="1" x14ac:dyDescent="0.25">
      <c r="A68" s="11"/>
      <c r="B68" s="28" t="s">
        <v>292</v>
      </c>
      <c r="C68" s="28"/>
      <c r="D68" s="22">
        <f>+D16-D18+D66</f>
        <v>-41261.939999999995</v>
      </c>
      <c r="E68" s="15"/>
      <c r="F68" s="21">
        <f>IF(D$12=0,0,D68/D$12)</f>
        <v>0</v>
      </c>
      <c r="G68" s="15"/>
      <c r="H68" s="22">
        <f>+H16-H18+H66</f>
        <v>-46302.666047384599</v>
      </c>
      <c r="I68" s="15"/>
      <c r="J68" s="21">
        <f>IF(H$12=0,0,H68/H$12)</f>
        <v>0</v>
      </c>
      <c r="K68" s="16"/>
      <c r="L68" s="22">
        <f>+D68-H68</f>
        <v>5040.7260473846036</v>
      </c>
      <c r="M68" s="16"/>
      <c r="N68" s="21">
        <f>IF(H68=0,0,L68/H68)</f>
        <v>-0.10886470429642417</v>
      </c>
      <c r="O68" s="27"/>
      <c r="P68" s="22">
        <f>+P16-P18+P66</f>
        <v>-497891.36999999994</v>
      </c>
      <c r="Q68" s="15"/>
      <c r="R68" s="21">
        <f>IF(P$12=0,0,P68/P$12)</f>
        <v>0</v>
      </c>
      <c r="S68" s="15"/>
      <c r="T68" s="22">
        <f>+T16-T18+T66</f>
        <v>-553875.99256861478</v>
      </c>
      <c r="U68" s="15"/>
      <c r="V68" s="21">
        <f>IF(T$12=0,0,T68/T$12)</f>
        <v>0</v>
      </c>
      <c r="W68" s="16"/>
      <c r="X68" s="22">
        <f>+P68-T68</f>
        <v>55984.622568614839</v>
      </c>
      <c r="Y68" s="16"/>
      <c r="Z68" s="21">
        <f>IF(T68=0,0,X68/T68)</f>
        <v>-0.10107790068492525</v>
      </c>
    </row>
    <row r="69" spans="1:26" ht="15" customHeight="1" x14ac:dyDescent="0.25">
      <c r="A69" s="10"/>
      <c r="B69" s="11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3" customFormat="1" ht="15" customHeight="1" x14ac:dyDescent="0.25">
      <c r="A70" s="49"/>
      <c r="B70" s="11" t="s">
        <v>293</v>
      </c>
      <c r="C70" s="11"/>
      <c r="D70" s="5"/>
      <c r="E70" s="5"/>
      <c r="F70" s="13">
        <f>IF(D$12=0,0,D70/D$12)</f>
        <v>0</v>
      </c>
      <c r="G70" s="5"/>
      <c r="H70" s="5"/>
      <c r="I70" s="5"/>
      <c r="J70" s="13">
        <f>IF(H$12=0,0,H70/H$12)</f>
        <v>0</v>
      </c>
      <c r="K70" s="5"/>
      <c r="L70" s="5">
        <f>+D70-H70</f>
        <v>0</v>
      </c>
      <c r="M70" s="5"/>
      <c r="N70" s="13">
        <f>IF(H70=0,0,L70/H70)</f>
        <v>0</v>
      </c>
      <c r="O70" s="11"/>
      <c r="P70" s="5"/>
      <c r="Q70" s="5"/>
      <c r="R70" s="13">
        <f>IF(P$12=0,0,P70/P$12)</f>
        <v>0</v>
      </c>
      <c r="S70" s="5"/>
      <c r="T70" s="5"/>
      <c r="U70" s="5"/>
      <c r="V70" s="13">
        <f>IF(T$12=0,0,T70/T$12)</f>
        <v>0</v>
      </c>
      <c r="W70" s="5"/>
      <c r="X70" s="5">
        <f>+P70-T70</f>
        <v>0</v>
      </c>
      <c r="Y70" s="5"/>
      <c r="Z70" s="13">
        <f>IF(T70=0,0,X70/T70)</f>
        <v>0</v>
      </c>
    </row>
    <row r="71" spans="1:26" ht="15" customHeight="1" x14ac:dyDescent="0.25">
      <c r="A71" s="10"/>
      <c r="B71" s="11"/>
      <c r="C71" s="11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O71" s="11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3" customFormat="1" ht="15" customHeight="1" x14ac:dyDescent="0.25">
      <c r="A72" s="11"/>
      <c r="B72" s="28" t="s">
        <v>294</v>
      </c>
      <c r="C72" s="28"/>
      <c r="D72" s="34">
        <f>+D68-D70</f>
        <v>-41261.939999999995</v>
      </c>
      <c r="E72" s="15"/>
      <c r="F72" s="32">
        <f>IF(D$12=0,0,D72/D$12)</f>
        <v>0</v>
      </c>
      <c r="G72" s="15"/>
      <c r="H72" s="34">
        <f>+H68-H70</f>
        <v>-46302.666047384599</v>
      </c>
      <c r="I72" s="15"/>
      <c r="J72" s="32">
        <f>IF(H$12=0,0,H72/H$12)</f>
        <v>0</v>
      </c>
      <c r="K72" s="16"/>
      <c r="L72" s="34">
        <f>D72-H72</f>
        <v>5040.7260473846036</v>
      </c>
      <c r="M72" s="16"/>
      <c r="N72" s="32">
        <f>IF(H72=0,0,L72/H72)</f>
        <v>-0.10886470429642417</v>
      </c>
      <c r="O72" s="27"/>
      <c r="P72" s="34">
        <f>+P68-P70</f>
        <v>-497891.36999999994</v>
      </c>
      <c r="Q72" s="15"/>
      <c r="R72" s="32">
        <f>IF(P$12=0,0,P72/P$12)</f>
        <v>0</v>
      </c>
      <c r="S72" s="15"/>
      <c r="T72" s="34">
        <f>+T68-T70</f>
        <v>-553875.99256861478</v>
      </c>
      <c r="U72" s="15"/>
      <c r="V72" s="32">
        <f>IF(T$12=0,0,T72/T$12)</f>
        <v>0</v>
      </c>
      <c r="W72" s="16"/>
      <c r="X72" s="34">
        <f>P72-T72</f>
        <v>55984.622568614839</v>
      </c>
      <c r="Y72" s="16"/>
      <c r="Z72" s="32">
        <f>IF(T72=0,0,X72/T72)</f>
        <v>-0.10107790068492525</v>
      </c>
    </row>
    <row r="73" spans="1:26" ht="15" customHeight="1" x14ac:dyDescent="0.25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ht="15" customHeight="1" x14ac:dyDescent="0.25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25">
      <c r="A75" s="11"/>
      <c r="B75" s="28" t="s">
        <v>297</v>
      </c>
      <c r="C75" s="28"/>
      <c r="D75" s="30">
        <f>SUM(D72:D74)</f>
        <v>-41261.939999999995</v>
      </c>
      <c r="E75" s="15"/>
      <c r="F75" s="33">
        <f>IF(D$12=0,0,D75/D$12)</f>
        <v>0</v>
      </c>
      <c r="G75" s="15"/>
      <c r="H75" s="30">
        <f>SUM(H72:H74)</f>
        <v>-46302.666047384599</v>
      </c>
      <c r="I75" s="15"/>
      <c r="J75" s="33">
        <f>IF(H$12=0,0,H75/H$12)</f>
        <v>0</v>
      </c>
      <c r="K75" s="16"/>
      <c r="L75" s="30">
        <f>+D75-H75</f>
        <v>5040.7260473846036</v>
      </c>
      <c r="M75" s="16"/>
      <c r="N75" s="33">
        <f>IF(H75=0,0,L75/H75)</f>
        <v>-0.10886470429642417</v>
      </c>
      <c r="O75" s="27"/>
      <c r="P75" s="30">
        <f>SUM(P72:P74)</f>
        <v>-497891.36999999994</v>
      </c>
      <c r="Q75" s="15"/>
      <c r="R75" s="33">
        <f>IF(P$12=0,0,P75/P$12)</f>
        <v>0</v>
      </c>
      <c r="S75" s="15"/>
      <c r="T75" s="30">
        <f>SUM(T72:T74)</f>
        <v>-553875.99256861478</v>
      </c>
      <c r="U75" s="15"/>
      <c r="V75" s="33">
        <f>IF(T$12=0,0,T75/T$12)</f>
        <v>0</v>
      </c>
      <c r="W75" s="16"/>
      <c r="X75" s="30">
        <f>+P75-T75</f>
        <v>55984.622568614839</v>
      </c>
      <c r="Y75" s="16"/>
      <c r="Z75" s="33">
        <f>IF(T75=0,0,X75/T75)</f>
        <v>-0.10107790068492525</v>
      </c>
    </row>
    <row r="76" spans="1:26" ht="15" customHeight="1" x14ac:dyDescent="0.25">
      <c r="A76" s="10"/>
      <c r="C76" s="10"/>
      <c r="D76" s="18"/>
      <c r="E76" s="18"/>
      <c r="G76" s="18"/>
      <c r="H76" s="18"/>
      <c r="I76" s="18"/>
      <c r="J76" s="40"/>
      <c r="K76" s="18"/>
      <c r="L76" s="18"/>
      <c r="M76" s="18"/>
      <c r="P76" s="18"/>
      <c r="Q76" s="18"/>
      <c r="R76" s="40"/>
      <c r="S76" s="18"/>
      <c r="T76" s="18"/>
      <c r="U76" s="18"/>
      <c r="V76" s="40"/>
      <c r="W76" s="18"/>
      <c r="X76" s="18"/>
    </row>
    <row r="77" spans="1:26" ht="15" customHeight="1" x14ac:dyDescent="0.25">
      <c r="A77" s="10"/>
      <c r="B77" s="54">
        <v>44727.874527581022</v>
      </c>
      <c r="D77" s="18"/>
      <c r="E77" s="18"/>
      <c r="G77" s="18"/>
      <c r="H77" s="18"/>
      <c r="I77" s="18"/>
      <c r="J77" s="40"/>
      <c r="K77" s="18"/>
      <c r="L77" s="18"/>
      <c r="M77" s="18"/>
      <c r="P77" s="18"/>
      <c r="Q77" s="18"/>
      <c r="R77" s="40"/>
      <c r="S77" s="18"/>
      <c r="T77" s="18"/>
      <c r="U77" s="18"/>
      <c r="V77" s="40"/>
      <c r="W77" s="18"/>
      <c r="X77" s="18"/>
    </row>
    <row r="78" spans="1:26" ht="15" customHeight="1" x14ac:dyDescent="0.25">
      <c r="A78" s="10"/>
      <c r="B78" s="50" t="s">
        <v>298</v>
      </c>
      <c r="D78" s="18"/>
      <c r="E78" s="18"/>
      <c r="G78" s="18"/>
      <c r="H78" s="18"/>
      <c r="I78" s="18"/>
      <c r="J78" s="40"/>
      <c r="K78" s="18"/>
      <c r="L78" s="18"/>
      <c r="M78" s="18"/>
      <c r="P78" s="18"/>
      <c r="Q78" s="18"/>
      <c r="R78" s="40"/>
      <c r="S78" s="18"/>
      <c r="T78" s="18"/>
      <c r="U78" s="18"/>
      <c r="V78" s="40"/>
      <c r="W78" s="18"/>
      <c r="X78" s="18"/>
    </row>
    <row r="79" spans="1:26" ht="15" customHeight="1" x14ac:dyDescent="0.25">
      <c r="A79" s="10"/>
      <c r="B79" s="58"/>
      <c r="D79" s="18"/>
      <c r="E79" s="18"/>
      <c r="G79" s="18"/>
      <c r="H79" s="18"/>
      <c r="I79" s="18"/>
      <c r="J79" s="40"/>
      <c r="K79" s="18"/>
      <c r="L79" s="18"/>
      <c r="M79" s="18"/>
      <c r="P79" s="18"/>
      <c r="Q79" s="18"/>
      <c r="R79" s="40"/>
      <c r="S79" s="18"/>
      <c r="T79" s="18"/>
      <c r="U79" s="18"/>
      <c r="V79" s="40"/>
      <c r="W79" s="18"/>
      <c r="X79" s="18"/>
    </row>
    <row r="80" spans="1:26" ht="15" customHeight="1" x14ac:dyDescent="0.25">
      <c r="D80" s="18"/>
      <c r="E80" s="18"/>
      <c r="G80" s="18"/>
      <c r="H80" s="18"/>
      <c r="I80" s="18"/>
      <c r="J80" s="40"/>
      <c r="K80" s="18"/>
      <c r="L80" s="18"/>
      <c r="M80" s="18"/>
      <c r="P80" s="18"/>
      <c r="Q80" s="18"/>
      <c r="R80" s="40"/>
      <c r="S80" s="18"/>
      <c r="T80" s="18"/>
      <c r="U80" s="18"/>
      <c r="V80" s="40"/>
      <c r="W80" s="18"/>
      <c r="X8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4F77B-2845-2BCB-9C87-D62903A48D1D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","205"," - ","Maintenance")</f>
        <v>Department 205 - Maintenance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13585.849999999999</v>
      </c>
      <c r="E18" s="23"/>
      <c r="F18" s="31">
        <f t="shared" ref="F18:F55" si="0">IF(D$12=0,0,D18/D$12)</f>
        <v>0</v>
      </c>
      <c r="G18" s="23"/>
      <c r="H18" s="23" cm="1">
        <f t="array" ref="H18">SUM(OSRRefH22x_0)</f>
        <v>7587.9665799999993</v>
      </c>
      <c r="I18" s="23"/>
      <c r="J18" s="31">
        <f t="shared" ref="J18:J55" si="1">IF(H$12=0,0,H18/H$12)</f>
        <v>0</v>
      </c>
      <c r="K18" s="5"/>
      <c r="L18" s="23">
        <f t="shared" ref="L18:L55" si="2">+D18-H18</f>
        <v>5997.8834199999992</v>
      </c>
      <c r="M18" s="5"/>
      <c r="N18" s="31">
        <f t="shared" ref="N18:N55" si="3">IF(H18=0,0,L18/H18)</f>
        <v>0.7904467365221316</v>
      </c>
      <c r="O18" s="11"/>
      <c r="P18" s="23" cm="1">
        <f t="array" ref="P18">SUM(OSRRefP22x_0)</f>
        <v>94527.72</v>
      </c>
      <c r="Q18" s="23"/>
      <c r="R18" s="31">
        <f t="shared" ref="R18:R55" si="4">IF(P$12=0,0,P18/P$12)</f>
        <v>0</v>
      </c>
      <c r="S18" s="23"/>
      <c r="T18" s="23" cm="1">
        <f t="array" ref="T18">SUM(OSRRefT22x_0)</f>
        <v>97020.598960000003</v>
      </c>
      <c r="U18" s="23"/>
      <c r="V18" s="31">
        <f t="shared" ref="V18:V55" si="5">IF(T$12=0,0,T18/T$12)</f>
        <v>0</v>
      </c>
      <c r="W18" s="5"/>
      <c r="X18" s="23">
        <f t="shared" ref="X18:X55" si="6">+P18-T18</f>
        <v>-2492.8789600000018</v>
      </c>
      <c r="Y18" s="5"/>
      <c r="Z18" s="31">
        <f t="shared" ref="Z18:Z55" si="7">IF(T18=0,0,X18/T18)</f>
        <v>-2.5694326634983718E-2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2707.1</v>
      </c>
      <c r="E19" s="2"/>
      <c r="F19" s="6">
        <f t="shared" si="0"/>
        <v>0</v>
      </c>
      <c r="G19" s="2"/>
      <c r="H19" s="2">
        <f>SUM(OSRRefH22_0x_0)</f>
        <v>1854.7865799999997</v>
      </c>
      <c r="I19" s="2"/>
      <c r="J19" s="6">
        <f t="shared" si="1"/>
        <v>0</v>
      </c>
      <c r="K19" s="2"/>
      <c r="L19" s="2">
        <f t="shared" si="2"/>
        <v>852.31342000000018</v>
      </c>
      <c r="M19" s="2"/>
      <c r="N19" s="6">
        <f t="shared" si="3"/>
        <v>0.45952101939404816</v>
      </c>
      <c r="O19" s="14"/>
      <c r="P19" s="2">
        <f>SUM(OSRRefP22_0x_0)</f>
        <v>30010.809999999998</v>
      </c>
      <c r="Q19" s="2"/>
      <c r="R19" s="6">
        <f t="shared" si="4"/>
        <v>0</v>
      </c>
      <c r="S19" s="2"/>
      <c r="T19" s="2">
        <f>SUM(OSRRefT22_0x_0)</f>
        <v>22082.438960000003</v>
      </c>
      <c r="U19" s="2"/>
      <c r="V19" s="6">
        <f t="shared" si="5"/>
        <v>0</v>
      </c>
      <c r="W19" s="2"/>
      <c r="X19" s="2">
        <f t="shared" si="6"/>
        <v>7928.3710399999945</v>
      </c>
      <c r="Y19" s="2"/>
      <c r="Z19" s="6">
        <f t="shared" si="7"/>
        <v>0.35903511629133894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343</v>
      </c>
      <c r="E20" s="3"/>
      <c r="F20" s="7">
        <f t="shared" si="0"/>
        <v>0</v>
      </c>
      <c r="G20" s="3"/>
      <c r="H20" s="8">
        <v>331.06878</v>
      </c>
      <c r="I20" s="3"/>
      <c r="J20" s="7">
        <f t="shared" si="1"/>
        <v>0</v>
      </c>
      <c r="K20" s="3"/>
      <c r="L20" s="8">
        <f t="shared" si="2"/>
        <v>11.931219999999996</v>
      </c>
      <c r="M20" s="3"/>
      <c r="N20" s="7">
        <f t="shared" si="3"/>
        <v>3.6038493270189945E-2</v>
      </c>
      <c r="O20" s="12"/>
      <c r="P20" s="8">
        <v>4032.59</v>
      </c>
      <c r="Q20" s="3"/>
      <c r="R20" s="7">
        <f t="shared" si="4"/>
        <v>0</v>
      </c>
      <c r="S20" s="3"/>
      <c r="T20" s="8">
        <v>3972.8253599999998</v>
      </c>
      <c r="U20" s="3"/>
      <c r="V20" s="7">
        <f t="shared" si="5"/>
        <v>0</v>
      </c>
      <c r="W20" s="3"/>
      <c r="X20" s="8">
        <f t="shared" si="6"/>
        <v>59.764640000000327</v>
      </c>
      <c r="Y20" s="3"/>
      <c r="Z20" s="7">
        <f t="shared" si="7"/>
        <v>1.5043359469493603E-2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372.11</v>
      </c>
      <c r="E21" s="3"/>
      <c r="F21" s="7">
        <f t="shared" si="0"/>
        <v>0</v>
      </c>
      <c r="G21" s="3"/>
      <c r="H21" s="8">
        <v>295.03320000000002</v>
      </c>
      <c r="I21" s="3"/>
      <c r="J21" s="7">
        <f t="shared" si="1"/>
        <v>0</v>
      </c>
      <c r="K21" s="3"/>
      <c r="L21" s="8">
        <f t="shared" si="2"/>
        <v>77.076799999999992</v>
      </c>
      <c r="M21" s="3"/>
      <c r="N21" s="7">
        <f t="shared" si="3"/>
        <v>0.26124788667851612</v>
      </c>
      <c r="O21" s="12"/>
      <c r="P21" s="8">
        <v>2904.54</v>
      </c>
      <c r="Q21" s="3"/>
      <c r="R21" s="7">
        <f t="shared" si="4"/>
        <v>0</v>
      </c>
      <c r="S21" s="3"/>
      <c r="T21" s="8">
        <v>3540.3984</v>
      </c>
      <c r="U21" s="3"/>
      <c r="V21" s="7">
        <f t="shared" si="5"/>
        <v>0</v>
      </c>
      <c r="W21" s="3"/>
      <c r="X21" s="8">
        <f t="shared" si="6"/>
        <v>-635.85840000000007</v>
      </c>
      <c r="Y21" s="3"/>
      <c r="Z21" s="7">
        <f t="shared" si="7"/>
        <v>-0.17960080424847105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694.36</v>
      </c>
      <c r="E22" s="3"/>
      <c r="F22" s="7">
        <f t="shared" si="0"/>
        <v>0</v>
      </c>
      <c r="G22" s="3"/>
      <c r="H22" s="8">
        <v>612</v>
      </c>
      <c r="I22" s="3"/>
      <c r="J22" s="7">
        <f t="shared" si="1"/>
        <v>0</v>
      </c>
      <c r="K22" s="3"/>
      <c r="L22" s="8">
        <f t="shared" si="2"/>
        <v>82.360000000000014</v>
      </c>
      <c r="M22" s="3"/>
      <c r="N22" s="7">
        <f t="shared" si="3"/>
        <v>0.13457516339869283</v>
      </c>
      <c r="O22" s="12"/>
      <c r="P22" s="8">
        <v>7660.01</v>
      </c>
      <c r="Q22" s="3"/>
      <c r="R22" s="7">
        <f t="shared" si="4"/>
        <v>0</v>
      </c>
      <c r="S22" s="3"/>
      <c r="T22" s="8">
        <v>7344</v>
      </c>
      <c r="U22" s="3"/>
      <c r="V22" s="7">
        <f t="shared" si="5"/>
        <v>0</v>
      </c>
      <c r="W22" s="3"/>
      <c r="X22" s="8">
        <f t="shared" si="6"/>
        <v>316.01000000000022</v>
      </c>
      <c r="Y22" s="3"/>
      <c r="Z22" s="7">
        <f t="shared" si="7"/>
        <v>4.3029684095860596E-2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17.5</v>
      </c>
      <c r="E23" s="3"/>
      <c r="F23" s="7">
        <f t="shared" si="0"/>
        <v>0</v>
      </c>
      <c r="G23" s="3"/>
      <c r="H23" s="8">
        <v>9.0846</v>
      </c>
      <c r="I23" s="3"/>
      <c r="J23" s="7">
        <f t="shared" si="1"/>
        <v>0</v>
      </c>
      <c r="K23" s="3"/>
      <c r="L23" s="8">
        <f t="shared" si="2"/>
        <v>8.4154</v>
      </c>
      <c r="M23" s="3"/>
      <c r="N23" s="7">
        <f t="shared" si="3"/>
        <v>0.92633687779318852</v>
      </c>
      <c r="O23" s="12"/>
      <c r="P23" s="8">
        <v>136.56</v>
      </c>
      <c r="Q23" s="3"/>
      <c r="R23" s="7">
        <f t="shared" si="4"/>
        <v>0</v>
      </c>
      <c r="S23" s="3"/>
      <c r="T23" s="8">
        <v>109.01519999999999</v>
      </c>
      <c r="U23" s="3"/>
      <c r="V23" s="7">
        <f t="shared" si="5"/>
        <v>0</v>
      </c>
      <c r="W23" s="3"/>
      <c r="X23" s="8">
        <f t="shared" si="6"/>
        <v>27.544800000000009</v>
      </c>
      <c r="Y23" s="3"/>
      <c r="Z23" s="7">
        <f t="shared" si="7"/>
        <v>0.25266935253065637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475.21</v>
      </c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475.21</v>
      </c>
      <c r="M24" s="3"/>
      <c r="N24" s="7">
        <f t="shared" si="3"/>
        <v>0</v>
      </c>
      <c r="O24" s="12"/>
      <c r="P24" s="8">
        <v>5572.74</v>
      </c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5572.74</v>
      </c>
      <c r="Y24" s="3"/>
      <c r="Z24" s="7">
        <f t="shared" si="7"/>
        <v>0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>
        <v>403.46</v>
      </c>
      <c r="E26" s="3"/>
      <c r="F26" s="7">
        <f t="shared" si="0"/>
        <v>0</v>
      </c>
      <c r="G26" s="3"/>
      <c r="H26" s="8">
        <v>346.08</v>
      </c>
      <c r="I26" s="3"/>
      <c r="J26" s="7">
        <f t="shared" si="1"/>
        <v>0</v>
      </c>
      <c r="K26" s="3"/>
      <c r="L26" s="8">
        <f t="shared" si="2"/>
        <v>57.379999999999995</v>
      </c>
      <c r="M26" s="3"/>
      <c r="N26" s="7">
        <f t="shared" si="3"/>
        <v>0.16579981507165972</v>
      </c>
      <c r="O26" s="12"/>
      <c r="P26" s="8">
        <v>4720.88</v>
      </c>
      <c r="Q26" s="3"/>
      <c r="R26" s="7">
        <f t="shared" si="4"/>
        <v>0</v>
      </c>
      <c r="S26" s="3"/>
      <c r="T26" s="8">
        <v>4152.96</v>
      </c>
      <c r="U26" s="3"/>
      <c r="V26" s="7">
        <f t="shared" si="5"/>
        <v>0</v>
      </c>
      <c r="W26" s="3"/>
      <c r="X26" s="8">
        <f t="shared" si="6"/>
        <v>567.92000000000007</v>
      </c>
      <c r="Y26" s="3"/>
      <c r="Z26" s="7">
        <f t="shared" si="7"/>
        <v>0.13675065495453848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>
        <v>201.46</v>
      </c>
      <c r="E27" s="3"/>
      <c r="F27" s="7">
        <f t="shared" si="0"/>
        <v>0</v>
      </c>
      <c r="G27" s="3"/>
      <c r="H27" s="8">
        <v>86.52</v>
      </c>
      <c r="I27" s="3"/>
      <c r="J27" s="7">
        <f t="shared" si="1"/>
        <v>0</v>
      </c>
      <c r="K27" s="3"/>
      <c r="L27" s="8">
        <f t="shared" si="2"/>
        <v>114.94000000000001</v>
      </c>
      <c r="M27" s="3"/>
      <c r="N27" s="7">
        <f t="shared" si="3"/>
        <v>1.3284789644012946</v>
      </c>
      <c r="O27" s="12"/>
      <c r="P27" s="8">
        <v>3136.96</v>
      </c>
      <c r="Q27" s="3"/>
      <c r="R27" s="7">
        <f t="shared" si="4"/>
        <v>0</v>
      </c>
      <c r="S27" s="3"/>
      <c r="T27" s="8">
        <v>1038.24</v>
      </c>
      <c r="U27" s="3"/>
      <c r="V27" s="7">
        <f t="shared" si="5"/>
        <v>0</v>
      </c>
      <c r="W27" s="3"/>
      <c r="X27" s="8">
        <f t="shared" si="6"/>
        <v>2098.7200000000003</v>
      </c>
      <c r="Y27" s="3"/>
      <c r="Z27" s="7">
        <f t="shared" si="7"/>
        <v>2.0214208660810606</v>
      </c>
    </row>
    <row r="28" spans="1:26" s="70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8">
        <v>200</v>
      </c>
      <c r="E28" s="3"/>
      <c r="F28" s="7">
        <f t="shared" si="0"/>
        <v>0</v>
      </c>
      <c r="G28" s="3"/>
      <c r="H28" s="8">
        <v>175</v>
      </c>
      <c r="I28" s="3"/>
      <c r="J28" s="7">
        <f t="shared" si="1"/>
        <v>0</v>
      </c>
      <c r="K28" s="3"/>
      <c r="L28" s="8">
        <f t="shared" si="2"/>
        <v>25</v>
      </c>
      <c r="M28" s="3"/>
      <c r="N28" s="7">
        <f t="shared" si="3"/>
        <v>0.14285714285714285</v>
      </c>
      <c r="O28" s="12"/>
      <c r="P28" s="8">
        <v>1846.53</v>
      </c>
      <c r="Q28" s="3"/>
      <c r="R28" s="7">
        <f t="shared" si="4"/>
        <v>0</v>
      </c>
      <c r="S28" s="3"/>
      <c r="T28" s="8">
        <v>1925</v>
      </c>
      <c r="U28" s="3"/>
      <c r="V28" s="7">
        <f t="shared" si="5"/>
        <v>0</v>
      </c>
      <c r="W28" s="3"/>
      <c r="X28" s="8">
        <f t="shared" si="6"/>
        <v>-78.470000000000027</v>
      </c>
      <c r="Y28" s="3"/>
      <c r="Z28" s="7">
        <f t="shared" si="7"/>
        <v>-4.0763636363636377E-2</v>
      </c>
    </row>
    <row r="29" spans="1:26" s="69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3971.9</v>
      </c>
      <c r="E29" s="2"/>
      <c r="F29" s="6">
        <f t="shared" si="0"/>
        <v>0</v>
      </c>
      <c r="G29" s="2"/>
      <c r="H29" s="2">
        <f>SUM(OSRRefH22_1x_0)</f>
        <v>4023.18</v>
      </c>
      <c r="I29" s="2"/>
      <c r="J29" s="6">
        <f t="shared" si="1"/>
        <v>0</v>
      </c>
      <c r="K29" s="2"/>
      <c r="L29" s="2">
        <f t="shared" si="2"/>
        <v>-51.279999999999745</v>
      </c>
      <c r="M29" s="2"/>
      <c r="N29" s="6">
        <f t="shared" si="3"/>
        <v>-1.2746136141062479E-2</v>
      </c>
      <c r="O29" s="14"/>
      <c r="P29" s="2">
        <f>SUM(OSRRefP22_1x_0)</f>
        <v>45297.79</v>
      </c>
      <c r="Q29" s="2"/>
      <c r="R29" s="6">
        <f t="shared" si="4"/>
        <v>0</v>
      </c>
      <c r="S29" s="2"/>
      <c r="T29" s="2">
        <f>SUM(OSRRefT22_1x_0)</f>
        <v>48278.16</v>
      </c>
      <c r="U29" s="2"/>
      <c r="V29" s="6">
        <f t="shared" si="5"/>
        <v>0</v>
      </c>
      <c r="W29" s="2"/>
      <c r="X29" s="2">
        <f t="shared" si="6"/>
        <v>-2980.3700000000026</v>
      </c>
      <c r="Y29" s="2"/>
      <c r="Z29" s="6">
        <f t="shared" si="7"/>
        <v>-6.1733297209338601E-2</v>
      </c>
    </row>
    <row r="30" spans="1:26" s="70" customFormat="1" ht="15" hidden="1" customHeight="1" outlineLevel="2" x14ac:dyDescent="0.25">
      <c r="A30" s="25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25">
      <c r="A31" s="25"/>
      <c r="B31" s="12" t="str">
        <f>CONCATENATE("          ","6002"," - ","STAFF SALARIES")</f>
        <v xml:space="preserve">          6002 - STAFF SALARIES</v>
      </c>
      <c r="C31" s="12"/>
      <c r="D31" s="8">
        <v>3971.9</v>
      </c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3971.9</v>
      </c>
      <c r="M31" s="3"/>
      <c r="N31" s="7">
        <f t="shared" si="3"/>
        <v>0</v>
      </c>
      <c r="O31" s="12"/>
      <c r="P31" s="8">
        <v>45297.79</v>
      </c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45297.79</v>
      </c>
      <c r="Y31" s="3"/>
      <c r="Z31" s="7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4023.18</v>
      </c>
      <c r="I33" s="3"/>
      <c r="J33" s="7">
        <f t="shared" si="1"/>
        <v>0</v>
      </c>
      <c r="K33" s="3"/>
      <c r="L33" s="8">
        <f t="shared" si="2"/>
        <v>-4023.18</v>
      </c>
      <c r="M33" s="3"/>
      <c r="N33" s="7">
        <f t="shared" si="3"/>
        <v>-1</v>
      </c>
      <c r="O33" s="12"/>
      <c r="P33" s="8"/>
      <c r="Q33" s="3"/>
      <c r="R33" s="7">
        <f t="shared" si="4"/>
        <v>0</v>
      </c>
      <c r="S33" s="3"/>
      <c r="T33" s="8">
        <v>48278.16</v>
      </c>
      <c r="U33" s="3"/>
      <c r="V33" s="7">
        <f t="shared" si="5"/>
        <v>0</v>
      </c>
      <c r="W33" s="3"/>
      <c r="X33" s="8">
        <f t="shared" si="6"/>
        <v>-48278.16</v>
      </c>
      <c r="Y33" s="3"/>
      <c r="Z33" s="7">
        <f t="shared" si="7"/>
        <v>-1</v>
      </c>
    </row>
    <row r="34" spans="1:26" s="70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25">
      <c r="A40" s="26"/>
      <c r="B40" s="14" t="str">
        <f>CONCATENATE("     ","General                                           ")</f>
        <v xml:space="preserve">     General       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-1613.22</v>
      </c>
      <c r="Q40" s="2"/>
      <c r="R40" s="6">
        <f t="shared" si="4"/>
        <v>0</v>
      </c>
      <c r="S40" s="2"/>
      <c r="T40" s="2">
        <f>SUM(OSRRefT22_2x_0)</f>
        <v>-750</v>
      </c>
      <c r="U40" s="2"/>
      <c r="V40" s="6">
        <f t="shared" si="5"/>
        <v>0</v>
      </c>
      <c r="W40" s="2"/>
      <c r="X40" s="2">
        <f t="shared" si="6"/>
        <v>-863.22</v>
      </c>
      <c r="Y40" s="2"/>
      <c r="Z40" s="6">
        <f t="shared" si="7"/>
        <v>1.15096</v>
      </c>
    </row>
    <row r="41" spans="1:26" s="70" customFormat="1" ht="15" hidden="1" customHeight="1" outlineLevel="2" x14ac:dyDescent="0.25">
      <c r="A41" s="25"/>
      <c r="B41" s="12" t="str">
        <f>CONCATENATE("          ","6279"," - ","GENERAL EXPENSE")</f>
        <v xml:space="preserve">          6279 - GENERAL EXPENSE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-1613.22</v>
      </c>
      <c r="Q41" s="3"/>
      <c r="R41" s="7">
        <f t="shared" si="4"/>
        <v>0</v>
      </c>
      <c r="S41" s="3"/>
      <c r="T41" s="8">
        <v>-750</v>
      </c>
      <c r="U41" s="3"/>
      <c r="V41" s="7">
        <f t="shared" si="5"/>
        <v>0</v>
      </c>
      <c r="W41" s="3"/>
      <c r="X41" s="8">
        <f t="shared" si="6"/>
        <v>-863.22</v>
      </c>
      <c r="Y41" s="3"/>
      <c r="Z41" s="7">
        <f t="shared" si="7"/>
        <v>1.15096</v>
      </c>
    </row>
    <row r="42" spans="1:26" s="69" customFormat="1" ht="15" customHeight="1" outlineLevel="1" collapsed="1" x14ac:dyDescent="0.25">
      <c r="A42" s="26"/>
      <c r="B42" s="14" t="str">
        <f>CONCATENATE("     ","Insurance                                         ")</f>
        <v xml:space="preserve">     Insurance                                         </v>
      </c>
      <c r="C42" s="14"/>
      <c r="D42" s="2">
        <f>SUM(OSRRefD22_3x_0)</f>
        <v>33.380000000000003</v>
      </c>
      <c r="E42" s="2"/>
      <c r="F42" s="6">
        <f t="shared" si="0"/>
        <v>0</v>
      </c>
      <c r="G42" s="2"/>
      <c r="H42" s="2">
        <f>SUM(OSRRefH22_3x_0)</f>
        <v>35</v>
      </c>
      <c r="I42" s="2"/>
      <c r="J42" s="6">
        <f t="shared" si="1"/>
        <v>0</v>
      </c>
      <c r="K42" s="2"/>
      <c r="L42" s="2">
        <f t="shared" si="2"/>
        <v>-1.6199999999999974</v>
      </c>
      <c r="M42" s="2"/>
      <c r="N42" s="6">
        <f t="shared" si="3"/>
        <v>-4.6285714285714215E-2</v>
      </c>
      <c r="O42" s="14"/>
      <c r="P42" s="2">
        <f>SUM(OSRRefP22_3x_0)</f>
        <v>367.18</v>
      </c>
      <c r="Q42" s="2"/>
      <c r="R42" s="6">
        <f t="shared" si="4"/>
        <v>0</v>
      </c>
      <c r="S42" s="2"/>
      <c r="T42" s="2">
        <f>SUM(OSRRefT22_3x_0)</f>
        <v>385</v>
      </c>
      <c r="U42" s="2"/>
      <c r="V42" s="6">
        <f t="shared" si="5"/>
        <v>0</v>
      </c>
      <c r="W42" s="2"/>
      <c r="X42" s="2">
        <f t="shared" si="6"/>
        <v>-17.819999999999993</v>
      </c>
      <c r="Y42" s="2"/>
      <c r="Z42" s="6">
        <f t="shared" si="7"/>
        <v>-4.628571428571427E-2</v>
      </c>
    </row>
    <row r="43" spans="1:26" s="70" customFormat="1" ht="15" hidden="1" customHeight="1" outlineLevel="2" x14ac:dyDescent="0.25">
      <c r="A43" s="25"/>
      <c r="B43" s="12" t="str">
        <f>CONCATENATE("          ","6314"," - ","LIABILITY INSURANCE")</f>
        <v xml:space="preserve">          6314 - LIABILITY INSURANCE</v>
      </c>
      <c r="C43" s="12"/>
      <c r="D43" s="8">
        <v>33.380000000000003</v>
      </c>
      <c r="E43" s="3"/>
      <c r="F43" s="7">
        <f t="shared" si="0"/>
        <v>0</v>
      </c>
      <c r="G43" s="3"/>
      <c r="H43" s="8">
        <v>35</v>
      </c>
      <c r="I43" s="3"/>
      <c r="J43" s="7">
        <f t="shared" si="1"/>
        <v>0</v>
      </c>
      <c r="K43" s="3"/>
      <c r="L43" s="8">
        <f t="shared" si="2"/>
        <v>-1.6199999999999974</v>
      </c>
      <c r="M43" s="3"/>
      <c r="N43" s="7">
        <f t="shared" si="3"/>
        <v>-4.6285714285714215E-2</v>
      </c>
      <c r="O43" s="12"/>
      <c r="P43" s="8">
        <v>367.18</v>
      </c>
      <c r="Q43" s="3"/>
      <c r="R43" s="7">
        <f t="shared" si="4"/>
        <v>0</v>
      </c>
      <c r="S43" s="3"/>
      <c r="T43" s="8">
        <v>385</v>
      </c>
      <c r="U43" s="3"/>
      <c r="V43" s="7">
        <f t="shared" si="5"/>
        <v>0</v>
      </c>
      <c r="W43" s="3"/>
      <c r="X43" s="8">
        <f t="shared" si="6"/>
        <v>-17.819999999999993</v>
      </c>
      <c r="Y43" s="3"/>
      <c r="Z43" s="7">
        <f t="shared" si="7"/>
        <v>-4.628571428571427E-2</v>
      </c>
    </row>
    <row r="44" spans="1:26" s="69" customFormat="1" ht="15" customHeight="1" outlineLevel="1" collapsed="1" x14ac:dyDescent="0.25">
      <c r="A44" s="26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6775.47</v>
      </c>
      <c r="E44" s="2"/>
      <c r="F44" s="6">
        <f t="shared" si="0"/>
        <v>0</v>
      </c>
      <c r="G44" s="2"/>
      <c r="H44" s="2">
        <f>SUM(OSRRefH22_4x_0)</f>
        <v>1500</v>
      </c>
      <c r="I44" s="2"/>
      <c r="J44" s="6">
        <f t="shared" si="1"/>
        <v>0</v>
      </c>
      <c r="K44" s="2"/>
      <c r="L44" s="2">
        <f t="shared" si="2"/>
        <v>5275.47</v>
      </c>
      <c r="M44" s="2"/>
      <c r="N44" s="6">
        <f t="shared" si="3"/>
        <v>3.5169800000000002</v>
      </c>
      <c r="O44" s="14"/>
      <c r="P44" s="2">
        <f>SUM(OSRRefP22_4x_0)</f>
        <v>18909.609999999997</v>
      </c>
      <c r="Q44" s="2"/>
      <c r="R44" s="6">
        <f t="shared" si="4"/>
        <v>0</v>
      </c>
      <c r="S44" s="2"/>
      <c r="T44" s="2">
        <f>SUM(OSRRefT22_4x_0)</f>
        <v>20100</v>
      </c>
      <c r="U44" s="2"/>
      <c r="V44" s="6">
        <f t="shared" si="5"/>
        <v>0</v>
      </c>
      <c r="W44" s="2"/>
      <c r="X44" s="2">
        <f t="shared" si="6"/>
        <v>-1190.3900000000031</v>
      </c>
      <c r="Y44" s="2"/>
      <c r="Z44" s="6">
        <f t="shared" si="7"/>
        <v>-5.9223383084577266E-2</v>
      </c>
    </row>
    <row r="45" spans="1:26" s="70" customFormat="1" ht="15" hidden="1" customHeight="1" outlineLevel="2" x14ac:dyDescent="0.25">
      <c r="A45" s="25"/>
      <c r="B45" s="12" t="str">
        <f>CONCATENATE("          ","6371"," - ","COMPUTER SOFTWARE MAINTENANCE")</f>
        <v xml:space="preserve">          6371 - COMPUTER SOFTWARE MAINTENANCE</v>
      </c>
      <c r="C45" s="12"/>
      <c r="D45" s="8">
        <v>5739.17</v>
      </c>
      <c r="E45" s="3"/>
      <c r="F45" s="7">
        <f t="shared" si="0"/>
        <v>0</v>
      </c>
      <c r="G45" s="3"/>
      <c r="H45" s="8"/>
      <c r="I45" s="3"/>
      <c r="J45" s="7">
        <f t="shared" si="1"/>
        <v>0</v>
      </c>
      <c r="K45" s="3"/>
      <c r="L45" s="8">
        <f t="shared" si="2"/>
        <v>5739.17</v>
      </c>
      <c r="M45" s="3"/>
      <c r="N45" s="7">
        <f t="shared" si="3"/>
        <v>0</v>
      </c>
      <c r="O45" s="12"/>
      <c r="P45" s="8">
        <v>5739.17</v>
      </c>
      <c r="Q45" s="3"/>
      <c r="R45" s="7">
        <f t="shared" si="4"/>
        <v>0</v>
      </c>
      <c r="S45" s="3"/>
      <c r="T45" s="8">
        <v>5000</v>
      </c>
      <c r="U45" s="3"/>
      <c r="V45" s="7">
        <f t="shared" si="5"/>
        <v>0</v>
      </c>
      <c r="W45" s="3"/>
      <c r="X45" s="8">
        <f t="shared" si="6"/>
        <v>739.17000000000007</v>
      </c>
      <c r="Y45" s="3"/>
      <c r="Z45" s="7">
        <f t="shared" si="7"/>
        <v>0.14783400000000002</v>
      </c>
    </row>
    <row r="46" spans="1:26" s="70" customFormat="1" ht="15" hidden="1" customHeight="1" outlineLevel="2" x14ac:dyDescent="0.25">
      <c r="A46" s="25"/>
      <c r="B46" s="12" t="str">
        <f>CONCATENATE("          ","6373"," - ","MAINTENANCE CONTRACTS")</f>
        <v xml:space="preserve">          6373 - MAINTENANCE CONTRACTS</v>
      </c>
      <c r="C46" s="12"/>
      <c r="D46" s="8">
        <v>946.3</v>
      </c>
      <c r="E46" s="3"/>
      <c r="F46" s="7">
        <f t="shared" si="0"/>
        <v>0</v>
      </c>
      <c r="G46" s="3"/>
      <c r="H46" s="8">
        <v>1500</v>
      </c>
      <c r="I46" s="3"/>
      <c r="J46" s="7">
        <f t="shared" si="1"/>
        <v>0</v>
      </c>
      <c r="K46" s="3"/>
      <c r="L46" s="8">
        <f t="shared" si="2"/>
        <v>-553.70000000000005</v>
      </c>
      <c r="M46" s="3"/>
      <c r="N46" s="7">
        <f t="shared" si="3"/>
        <v>-0.36913333333333337</v>
      </c>
      <c r="O46" s="12"/>
      <c r="P46" s="8">
        <v>12992.18</v>
      </c>
      <c r="Q46" s="3"/>
      <c r="R46" s="7">
        <f t="shared" si="4"/>
        <v>0</v>
      </c>
      <c r="S46" s="3"/>
      <c r="T46" s="8">
        <v>15100</v>
      </c>
      <c r="U46" s="3"/>
      <c r="V46" s="7">
        <f t="shared" si="5"/>
        <v>0</v>
      </c>
      <c r="W46" s="3"/>
      <c r="X46" s="8">
        <f t="shared" si="6"/>
        <v>-2107.8199999999997</v>
      </c>
      <c r="Y46" s="3"/>
      <c r="Z46" s="7">
        <f t="shared" si="7"/>
        <v>-0.13959072847682116</v>
      </c>
    </row>
    <row r="47" spans="1:26" s="70" customFormat="1" ht="15" hidden="1" customHeight="1" outlineLevel="2" x14ac:dyDescent="0.25">
      <c r="A47" s="25"/>
      <c r="B47" s="12" t="str">
        <f>CONCATENATE("          ","6375"," - ","OUTSIDE REPAIRS &amp; MAINTENANCE")</f>
        <v xml:space="preserve">          6375 - OUTSIDE REPAIRS &amp; MAINTENANCE</v>
      </c>
      <c r="C47" s="12"/>
      <c r="D47" s="8">
        <v>90</v>
      </c>
      <c r="E47" s="3"/>
      <c r="F47" s="7">
        <f t="shared" si="0"/>
        <v>0</v>
      </c>
      <c r="G47" s="3"/>
      <c r="H47" s="8"/>
      <c r="I47" s="3"/>
      <c r="J47" s="7">
        <f t="shared" si="1"/>
        <v>0</v>
      </c>
      <c r="K47" s="3"/>
      <c r="L47" s="8">
        <f t="shared" si="2"/>
        <v>90</v>
      </c>
      <c r="M47" s="3"/>
      <c r="N47" s="7">
        <f t="shared" si="3"/>
        <v>0</v>
      </c>
      <c r="O47" s="12"/>
      <c r="P47" s="8">
        <v>178.26</v>
      </c>
      <c r="Q47" s="3"/>
      <c r="R47" s="7">
        <f t="shared" si="4"/>
        <v>0</v>
      </c>
      <c r="S47" s="3"/>
      <c r="T47" s="8"/>
      <c r="U47" s="3"/>
      <c r="V47" s="7">
        <f t="shared" si="5"/>
        <v>0</v>
      </c>
      <c r="W47" s="3"/>
      <c r="X47" s="8">
        <f t="shared" si="6"/>
        <v>178.26</v>
      </c>
      <c r="Y47" s="3"/>
      <c r="Z47" s="7">
        <f t="shared" si="7"/>
        <v>0</v>
      </c>
    </row>
    <row r="48" spans="1:26" s="69" customFormat="1" ht="15" customHeight="1" outlineLevel="1" collapsed="1" x14ac:dyDescent="0.25">
      <c r="A48" s="26"/>
      <c r="B48" s="14" t="str">
        <f>CONCATENATE("     ","Services                                          ")</f>
        <v xml:space="preserve">     Services           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25</v>
      </c>
      <c r="I48" s="2"/>
      <c r="J48" s="6">
        <f t="shared" si="1"/>
        <v>0</v>
      </c>
      <c r="K48" s="2"/>
      <c r="L48" s="2">
        <f t="shared" si="2"/>
        <v>-25</v>
      </c>
      <c r="M48" s="2"/>
      <c r="N48" s="6">
        <f t="shared" si="3"/>
        <v>-1</v>
      </c>
      <c r="O48" s="14"/>
      <c r="P48" s="2">
        <f>SUM(OSRRefP22_5x_0)</f>
        <v>0</v>
      </c>
      <c r="Q48" s="2"/>
      <c r="R48" s="6">
        <f t="shared" si="4"/>
        <v>0</v>
      </c>
      <c r="S48" s="2"/>
      <c r="T48" s="2">
        <f>SUM(OSRRefT22_5x_0)</f>
        <v>275</v>
      </c>
      <c r="U48" s="2"/>
      <c r="V48" s="6">
        <f t="shared" si="5"/>
        <v>0</v>
      </c>
      <c r="W48" s="2"/>
      <c r="X48" s="2">
        <f t="shared" si="6"/>
        <v>-275</v>
      </c>
      <c r="Y48" s="2"/>
      <c r="Z48" s="6">
        <f t="shared" si="7"/>
        <v>-1</v>
      </c>
    </row>
    <row r="49" spans="1:26" s="70" customFormat="1" ht="15" hidden="1" customHeight="1" outlineLevel="2" x14ac:dyDescent="0.25">
      <c r="A49" s="25"/>
      <c r="B49" s="12" t="str">
        <f>CONCATENATE("          ","6286"," - ","LAUNDRY EXPENSE")</f>
        <v xml:space="preserve">          6286 - LAUNDRY EXPENSE</v>
      </c>
      <c r="C49" s="12"/>
      <c r="D49" s="8"/>
      <c r="E49" s="3"/>
      <c r="F49" s="7">
        <f t="shared" si="0"/>
        <v>0</v>
      </c>
      <c r="G49" s="3"/>
      <c r="H49" s="8">
        <v>25</v>
      </c>
      <c r="I49" s="3"/>
      <c r="J49" s="7">
        <f t="shared" si="1"/>
        <v>0</v>
      </c>
      <c r="K49" s="3"/>
      <c r="L49" s="8">
        <f t="shared" si="2"/>
        <v>-25</v>
      </c>
      <c r="M49" s="3"/>
      <c r="N49" s="7">
        <f t="shared" si="3"/>
        <v>-1</v>
      </c>
      <c r="O49" s="12"/>
      <c r="P49" s="8"/>
      <c r="Q49" s="3"/>
      <c r="R49" s="7">
        <f t="shared" si="4"/>
        <v>0</v>
      </c>
      <c r="S49" s="3"/>
      <c r="T49" s="8">
        <v>275</v>
      </c>
      <c r="U49" s="3"/>
      <c r="V49" s="7">
        <f t="shared" si="5"/>
        <v>0</v>
      </c>
      <c r="W49" s="3"/>
      <c r="X49" s="8">
        <f t="shared" si="6"/>
        <v>-275</v>
      </c>
      <c r="Y49" s="3"/>
      <c r="Z49" s="7">
        <f t="shared" si="7"/>
        <v>-1</v>
      </c>
    </row>
    <row r="50" spans="1:26" s="69" customFormat="1" ht="15" customHeight="1" outlineLevel="1" collapsed="1" x14ac:dyDescent="0.25">
      <c r="A50" s="26"/>
      <c r="B50" s="14" t="str">
        <f>CONCATENATE("     ","Supplies                                          ")</f>
        <v xml:space="preserve">     Supplies                                          </v>
      </c>
      <c r="C50" s="14"/>
      <c r="D50" s="2">
        <f>SUM(OSRRefD22_6x_0)</f>
        <v>0</v>
      </c>
      <c r="E50" s="2"/>
      <c r="F50" s="6">
        <f t="shared" si="0"/>
        <v>0</v>
      </c>
      <c r="G50" s="2"/>
      <c r="H50" s="2">
        <f>SUM(OSRRefH22_6x_0)</f>
        <v>25</v>
      </c>
      <c r="I50" s="2"/>
      <c r="J50" s="6">
        <f t="shared" si="1"/>
        <v>0</v>
      </c>
      <c r="K50" s="2"/>
      <c r="L50" s="2">
        <f t="shared" si="2"/>
        <v>-25</v>
      </c>
      <c r="M50" s="2"/>
      <c r="N50" s="6">
        <f t="shared" si="3"/>
        <v>-1</v>
      </c>
      <c r="O50" s="14"/>
      <c r="P50" s="2">
        <f>SUM(OSRRefP22_6x_0)</f>
        <v>452.54999999999995</v>
      </c>
      <c r="Q50" s="2"/>
      <c r="R50" s="6">
        <f t="shared" si="4"/>
        <v>0</v>
      </c>
      <c r="S50" s="2"/>
      <c r="T50" s="2">
        <f>SUM(OSRRefT22_6x_0)</f>
        <v>5275</v>
      </c>
      <c r="U50" s="2"/>
      <c r="V50" s="6">
        <f t="shared" si="5"/>
        <v>0</v>
      </c>
      <c r="W50" s="2"/>
      <c r="X50" s="2">
        <f t="shared" si="6"/>
        <v>-4822.45</v>
      </c>
      <c r="Y50" s="2"/>
      <c r="Z50" s="6">
        <f t="shared" si="7"/>
        <v>-0.9142085308056872</v>
      </c>
    </row>
    <row r="51" spans="1:26" s="70" customFormat="1" ht="15" hidden="1" customHeight="1" outlineLevel="2" x14ac:dyDescent="0.25">
      <c r="A51" s="25"/>
      <c r="B51" s="12" t="str">
        <f>CONCATENATE("          ","6234"," - ","EXPENDABLE SUPPLIES &amp; EQUIPMEN")</f>
        <v xml:space="preserve">          6234 - EXPENDABLE SUPPLIES &amp; EQUIPMEN</v>
      </c>
      <c r="C51" s="12"/>
      <c r="D51" s="8"/>
      <c r="E51" s="3"/>
      <c r="F51" s="7">
        <f t="shared" si="0"/>
        <v>0</v>
      </c>
      <c r="G51" s="3"/>
      <c r="H51" s="8"/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242.35</v>
      </c>
      <c r="Q51" s="3"/>
      <c r="R51" s="7">
        <f t="shared" si="4"/>
        <v>0</v>
      </c>
      <c r="S51" s="3"/>
      <c r="T51" s="8"/>
      <c r="U51" s="3"/>
      <c r="V51" s="7">
        <f t="shared" si="5"/>
        <v>0</v>
      </c>
      <c r="W51" s="3"/>
      <c r="X51" s="8">
        <f t="shared" si="6"/>
        <v>242.35</v>
      </c>
      <c r="Y51" s="3"/>
      <c r="Z51" s="7">
        <f t="shared" si="7"/>
        <v>0</v>
      </c>
    </row>
    <row r="52" spans="1:26" s="70" customFormat="1" ht="15" hidden="1" customHeight="1" outlineLevel="2" x14ac:dyDescent="0.25">
      <c r="A52" s="25"/>
      <c r="B52" s="12" t="str">
        <f>CONCATENATE("          ","6241"," - ","OFFICE EXPENSE")</f>
        <v xml:space="preserve">          6241 - OFFICE EXPENSE</v>
      </c>
      <c r="C52" s="12"/>
      <c r="D52" s="8"/>
      <c r="E52" s="3"/>
      <c r="F52" s="7">
        <f t="shared" si="0"/>
        <v>0</v>
      </c>
      <c r="G52" s="3"/>
      <c r="H52" s="8">
        <v>25</v>
      </c>
      <c r="I52" s="3"/>
      <c r="J52" s="7">
        <f t="shared" si="1"/>
        <v>0</v>
      </c>
      <c r="K52" s="3"/>
      <c r="L52" s="8">
        <f t="shared" si="2"/>
        <v>-25</v>
      </c>
      <c r="M52" s="3"/>
      <c r="N52" s="7">
        <f t="shared" si="3"/>
        <v>-1</v>
      </c>
      <c r="O52" s="12"/>
      <c r="P52" s="8">
        <v>210.2</v>
      </c>
      <c r="Q52" s="3"/>
      <c r="R52" s="7">
        <f t="shared" si="4"/>
        <v>0</v>
      </c>
      <c r="S52" s="3"/>
      <c r="T52" s="8">
        <v>275</v>
      </c>
      <c r="U52" s="3"/>
      <c r="V52" s="7">
        <f t="shared" si="5"/>
        <v>0</v>
      </c>
      <c r="W52" s="3"/>
      <c r="X52" s="8">
        <f t="shared" si="6"/>
        <v>-64.800000000000011</v>
      </c>
      <c r="Y52" s="3"/>
      <c r="Z52" s="7">
        <f t="shared" si="7"/>
        <v>-0.23563636363636367</v>
      </c>
    </row>
    <row r="53" spans="1:26" s="70" customFormat="1" ht="15" hidden="1" customHeight="1" outlineLevel="2" x14ac:dyDescent="0.25">
      <c r="A53" s="25"/>
      <c r="B53" s="12" t="str">
        <f>CONCATENATE("          ","6247"," - ","STORE SUPPLIES")</f>
        <v xml:space="preserve">          6247 - STORE SUPPLIES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5000</v>
      </c>
      <c r="U53" s="3"/>
      <c r="V53" s="7">
        <f t="shared" si="5"/>
        <v>0</v>
      </c>
      <c r="W53" s="3"/>
      <c r="X53" s="8">
        <f t="shared" si="6"/>
        <v>-5000</v>
      </c>
      <c r="Y53" s="3"/>
      <c r="Z53" s="7">
        <f t="shared" si="7"/>
        <v>-1</v>
      </c>
    </row>
    <row r="54" spans="1:26" s="69" customFormat="1" ht="15" customHeight="1" outlineLevel="1" collapsed="1" x14ac:dyDescent="0.25">
      <c r="A54" s="26"/>
      <c r="B54" s="14" t="str">
        <f>CONCATENATE("     ","Telephone/Data Lines                              ")</f>
        <v xml:space="preserve">     Telephone/Data Lines                              </v>
      </c>
      <c r="C54" s="14"/>
      <c r="D54" s="2">
        <f>SUM(OSRRefD22_7x_0)</f>
        <v>98</v>
      </c>
      <c r="E54" s="2"/>
      <c r="F54" s="6">
        <f t="shared" si="0"/>
        <v>0</v>
      </c>
      <c r="G54" s="2"/>
      <c r="H54" s="2">
        <f>SUM(OSRRefH22_7x_0)</f>
        <v>125</v>
      </c>
      <c r="I54" s="2"/>
      <c r="J54" s="6">
        <f t="shared" si="1"/>
        <v>0</v>
      </c>
      <c r="K54" s="2"/>
      <c r="L54" s="2">
        <f t="shared" si="2"/>
        <v>-27</v>
      </c>
      <c r="M54" s="2"/>
      <c r="N54" s="6">
        <f t="shared" si="3"/>
        <v>-0.216</v>
      </c>
      <c r="O54" s="14"/>
      <c r="P54" s="2">
        <f>SUM(OSRRefP22_7x_0)</f>
        <v>1103</v>
      </c>
      <c r="Q54" s="2"/>
      <c r="R54" s="6">
        <f t="shared" si="4"/>
        <v>0</v>
      </c>
      <c r="S54" s="2"/>
      <c r="T54" s="2">
        <f>SUM(OSRRefT22_7x_0)</f>
        <v>1375</v>
      </c>
      <c r="U54" s="2"/>
      <c r="V54" s="6">
        <f t="shared" si="5"/>
        <v>0</v>
      </c>
      <c r="W54" s="2"/>
      <c r="X54" s="2">
        <f t="shared" si="6"/>
        <v>-272</v>
      </c>
      <c r="Y54" s="2"/>
      <c r="Z54" s="6">
        <f t="shared" si="7"/>
        <v>-0.19781818181818181</v>
      </c>
    </row>
    <row r="55" spans="1:26" s="70" customFormat="1" ht="15" hidden="1" customHeight="1" outlineLevel="2" x14ac:dyDescent="0.25">
      <c r="A55" s="25"/>
      <c r="B55" s="12" t="str">
        <f>CONCATENATE("          ","6309"," - ","TELEPHONE")</f>
        <v xml:space="preserve">          6309 - TELEPHONE</v>
      </c>
      <c r="C55" s="12"/>
      <c r="D55" s="8">
        <v>98</v>
      </c>
      <c r="E55" s="3"/>
      <c r="F55" s="7">
        <f t="shared" si="0"/>
        <v>0</v>
      </c>
      <c r="G55" s="3"/>
      <c r="H55" s="8">
        <v>125</v>
      </c>
      <c r="I55" s="3"/>
      <c r="J55" s="7">
        <f t="shared" si="1"/>
        <v>0</v>
      </c>
      <c r="K55" s="3"/>
      <c r="L55" s="8">
        <f t="shared" si="2"/>
        <v>-27</v>
      </c>
      <c r="M55" s="3"/>
      <c r="N55" s="7">
        <f t="shared" si="3"/>
        <v>-0.216</v>
      </c>
      <c r="O55" s="12"/>
      <c r="P55" s="8">
        <v>1103</v>
      </c>
      <c r="Q55" s="3"/>
      <c r="R55" s="7">
        <f t="shared" si="4"/>
        <v>0</v>
      </c>
      <c r="S55" s="3"/>
      <c r="T55" s="8">
        <v>1375</v>
      </c>
      <c r="U55" s="3"/>
      <c r="V55" s="7">
        <f t="shared" si="5"/>
        <v>0</v>
      </c>
      <c r="W55" s="3"/>
      <c r="X55" s="8">
        <f t="shared" si="6"/>
        <v>-272</v>
      </c>
      <c r="Y55" s="3"/>
      <c r="Z55" s="7">
        <f t="shared" si="7"/>
        <v>-0.19781818181818181</v>
      </c>
    </row>
    <row r="56" spans="1:26" s="65" customFormat="1" ht="15" customHeight="1" x14ac:dyDescent="0.25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25">
      <c r="A57" s="11"/>
      <c r="B57" s="27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25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25">
      <c r="A59" s="11"/>
      <c r="B59" s="28" t="s">
        <v>292</v>
      </c>
      <c r="C59" s="28"/>
      <c r="D59" s="22">
        <f>+D16-D18+D57</f>
        <v>-13585.849999999999</v>
      </c>
      <c r="E59" s="15"/>
      <c r="F59" s="21">
        <f>IF(D$12=0,0,D59/D$12)</f>
        <v>0</v>
      </c>
      <c r="G59" s="15"/>
      <c r="H59" s="22">
        <f>+H16-H18+H57</f>
        <v>-7587.9665799999993</v>
      </c>
      <c r="I59" s="15"/>
      <c r="J59" s="21">
        <f>IF(H$12=0,0,H59/H$12)</f>
        <v>0</v>
      </c>
      <c r="K59" s="16"/>
      <c r="L59" s="22">
        <f>+D59-H59</f>
        <v>-5997.8834199999992</v>
      </c>
      <c r="M59" s="16"/>
      <c r="N59" s="21">
        <f>IF(H59=0,0,L59/H59)</f>
        <v>0.7904467365221316</v>
      </c>
      <c r="O59" s="27"/>
      <c r="P59" s="22">
        <f>+P16-P18+P57</f>
        <v>-94527.72</v>
      </c>
      <c r="Q59" s="15"/>
      <c r="R59" s="21">
        <f>IF(P$12=0,0,P59/P$12)</f>
        <v>0</v>
      </c>
      <c r="S59" s="15"/>
      <c r="T59" s="22">
        <f>+T16-T18+T57</f>
        <v>-97020.598960000003</v>
      </c>
      <c r="U59" s="15"/>
      <c r="V59" s="21">
        <f>IF(T$12=0,0,T59/T$12)</f>
        <v>0</v>
      </c>
      <c r="W59" s="16"/>
      <c r="X59" s="22">
        <f>+P59-T59</f>
        <v>2492.8789600000018</v>
      </c>
      <c r="Y59" s="16"/>
      <c r="Z59" s="21">
        <f>IF(T59=0,0,X59/T59)</f>
        <v>-2.5694326634983718E-2</v>
      </c>
    </row>
    <row r="60" spans="1:26" ht="15" customHeight="1" x14ac:dyDescent="0.25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25">
      <c r="A61" s="49"/>
      <c r="B61" s="11" t="s">
        <v>293</v>
      </c>
      <c r="C61" s="11"/>
      <c r="D61" s="5"/>
      <c r="E61" s="5"/>
      <c r="F61" s="13">
        <f>IF(D$12=0,0,D61/D$12)</f>
        <v>0</v>
      </c>
      <c r="G61" s="5"/>
      <c r="H61" s="5"/>
      <c r="I61" s="5"/>
      <c r="J61" s="13">
        <f>IF(H$12=0,0,H61/H$12)</f>
        <v>0</v>
      </c>
      <c r="K61" s="5"/>
      <c r="L61" s="5">
        <f>+D61-H61</f>
        <v>0</v>
      </c>
      <c r="M61" s="5"/>
      <c r="N61" s="13">
        <f>IF(H61=0,0,L61/H61)</f>
        <v>0</v>
      </c>
      <c r="O61" s="11"/>
      <c r="P61" s="5"/>
      <c r="Q61" s="5"/>
      <c r="R61" s="13">
        <f>IF(P$12=0,0,P61/P$12)</f>
        <v>0</v>
      </c>
      <c r="S61" s="5"/>
      <c r="T61" s="5"/>
      <c r="U61" s="5"/>
      <c r="V61" s="13">
        <f>IF(T$12=0,0,T61/T$12)</f>
        <v>0</v>
      </c>
      <c r="W61" s="5"/>
      <c r="X61" s="5">
        <f>+P61-T61</f>
        <v>0</v>
      </c>
      <c r="Y61" s="5"/>
      <c r="Z61" s="13">
        <f>IF(T61=0,0,X61/T61)</f>
        <v>0</v>
      </c>
    </row>
    <row r="62" spans="1:26" ht="15" customHeight="1" x14ac:dyDescent="0.25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25">
      <c r="A63" s="11"/>
      <c r="B63" s="28" t="s">
        <v>294</v>
      </c>
      <c r="C63" s="28"/>
      <c r="D63" s="34">
        <f>+D59-D61</f>
        <v>-13585.849999999999</v>
      </c>
      <c r="E63" s="15"/>
      <c r="F63" s="32">
        <f>IF(D$12=0,0,D63/D$12)</f>
        <v>0</v>
      </c>
      <c r="G63" s="15"/>
      <c r="H63" s="34">
        <f>+H59-H61</f>
        <v>-7587.9665799999993</v>
      </c>
      <c r="I63" s="15"/>
      <c r="J63" s="32">
        <f>IF(H$12=0,0,H63/H$12)</f>
        <v>0</v>
      </c>
      <c r="K63" s="16"/>
      <c r="L63" s="34">
        <f>D63-H63</f>
        <v>-5997.8834199999992</v>
      </c>
      <c r="M63" s="16"/>
      <c r="N63" s="32">
        <f>IF(H63=0,0,L63/H63)</f>
        <v>0.7904467365221316</v>
      </c>
      <c r="O63" s="27"/>
      <c r="P63" s="34">
        <f>+P59-P61</f>
        <v>-94527.72</v>
      </c>
      <c r="Q63" s="15"/>
      <c r="R63" s="32">
        <f>IF(P$12=0,0,P63/P$12)</f>
        <v>0</v>
      </c>
      <c r="S63" s="15"/>
      <c r="T63" s="34">
        <f>+T59-T61</f>
        <v>-97020.598960000003</v>
      </c>
      <c r="U63" s="15"/>
      <c r="V63" s="32">
        <f>IF(T$12=0,0,T63/T$12)</f>
        <v>0</v>
      </c>
      <c r="W63" s="16"/>
      <c r="X63" s="34">
        <f>P63-T63</f>
        <v>2492.8789600000018</v>
      </c>
      <c r="Y63" s="16"/>
      <c r="Z63" s="32">
        <f>IF(T63=0,0,X63/T63)</f>
        <v>-2.5694326634983718E-2</v>
      </c>
    </row>
    <row r="64" spans="1:26" ht="15" customHeight="1" x14ac:dyDescent="0.25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25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25">
      <c r="A66" s="11"/>
      <c r="B66" s="28" t="s">
        <v>297</v>
      </c>
      <c r="C66" s="28"/>
      <c r="D66" s="30">
        <f>SUM(D63:D65)</f>
        <v>-13585.849999999999</v>
      </c>
      <c r="E66" s="15"/>
      <c r="F66" s="33">
        <f>IF(D$12=0,0,D66/D$12)</f>
        <v>0</v>
      </c>
      <c r="G66" s="15"/>
      <c r="H66" s="30">
        <f>SUM(H63:H65)</f>
        <v>-7587.9665799999993</v>
      </c>
      <c r="I66" s="15"/>
      <c r="J66" s="33">
        <f>IF(H$12=0,0,H66/H$12)</f>
        <v>0</v>
      </c>
      <c r="K66" s="16"/>
      <c r="L66" s="30">
        <f>+D66-H66</f>
        <v>-5997.8834199999992</v>
      </c>
      <c r="M66" s="16"/>
      <c r="N66" s="33">
        <f>IF(H66=0,0,L66/H66)</f>
        <v>0.7904467365221316</v>
      </c>
      <c r="O66" s="27"/>
      <c r="P66" s="30">
        <f>SUM(P63:P65)</f>
        <v>-94527.72</v>
      </c>
      <c r="Q66" s="15"/>
      <c r="R66" s="33">
        <f>IF(P$12=0,0,P66/P$12)</f>
        <v>0</v>
      </c>
      <c r="S66" s="15"/>
      <c r="T66" s="30">
        <f>SUM(T63:T65)</f>
        <v>-97020.598960000003</v>
      </c>
      <c r="U66" s="15"/>
      <c r="V66" s="33">
        <f>IF(T$12=0,0,T66/T$12)</f>
        <v>0</v>
      </c>
      <c r="W66" s="16"/>
      <c r="X66" s="30">
        <f>+P66-T66</f>
        <v>2492.8789600000018</v>
      </c>
      <c r="Y66" s="16"/>
      <c r="Z66" s="33">
        <f>IF(T66=0,0,X66/T66)</f>
        <v>-2.5694326634983718E-2</v>
      </c>
    </row>
    <row r="67" spans="1:26" ht="15" customHeight="1" x14ac:dyDescent="0.25">
      <c r="A67" s="10"/>
      <c r="C67" s="10"/>
      <c r="D67" s="18"/>
      <c r="E67" s="18"/>
      <c r="G67" s="18"/>
      <c r="H67" s="18"/>
      <c r="I67" s="18"/>
      <c r="J67" s="40"/>
      <c r="K67" s="18"/>
      <c r="L67" s="18"/>
      <c r="M67" s="18"/>
      <c r="P67" s="18"/>
      <c r="Q67" s="18"/>
      <c r="R67" s="40"/>
      <c r="S67" s="18"/>
      <c r="T67" s="18"/>
      <c r="U67" s="18"/>
      <c r="V67" s="40"/>
      <c r="W67" s="18"/>
      <c r="X67" s="18"/>
    </row>
    <row r="68" spans="1:26" ht="15" customHeight="1" x14ac:dyDescent="0.25">
      <c r="A68" s="10"/>
      <c r="B68" s="54">
        <v>44727.874527581022</v>
      </c>
      <c r="D68" s="18"/>
      <c r="E68" s="18"/>
      <c r="G68" s="18"/>
      <c r="H68" s="18"/>
      <c r="I68" s="18"/>
      <c r="J68" s="40"/>
      <c r="K68" s="18"/>
      <c r="L68" s="18"/>
      <c r="M68" s="18"/>
      <c r="P68" s="18"/>
      <c r="Q68" s="18"/>
      <c r="R68" s="40"/>
      <c r="S68" s="18"/>
      <c r="T68" s="18"/>
      <c r="U68" s="18"/>
      <c r="V68" s="40"/>
      <c r="W68" s="18"/>
      <c r="X68" s="18"/>
    </row>
    <row r="69" spans="1:26" ht="15" customHeight="1" x14ac:dyDescent="0.25">
      <c r="A69" s="10"/>
      <c r="B69" s="50" t="s">
        <v>298</v>
      </c>
      <c r="D69" s="18"/>
      <c r="E69" s="18"/>
      <c r="G69" s="18"/>
      <c r="H69" s="18"/>
      <c r="I69" s="18"/>
      <c r="J69" s="40"/>
      <c r="K69" s="18"/>
      <c r="L69" s="18"/>
      <c r="M69" s="18"/>
      <c r="P69" s="18"/>
      <c r="Q69" s="18"/>
      <c r="R69" s="40"/>
      <c r="S69" s="18"/>
      <c r="T69" s="18"/>
      <c r="U69" s="18"/>
      <c r="V69" s="40"/>
      <c r="W69" s="18"/>
      <c r="X69" s="18"/>
    </row>
    <row r="70" spans="1:26" ht="15" customHeight="1" x14ac:dyDescent="0.25">
      <c r="A70" s="10"/>
      <c r="B70" s="58"/>
      <c r="D70" s="18"/>
      <c r="E70" s="18"/>
      <c r="G70" s="18"/>
      <c r="H70" s="18"/>
      <c r="I70" s="18"/>
      <c r="J70" s="40"/>
      <c r="K70" s="18"/>
      <c r="L70" s="18"/>
      <c r="M70" s="18"/>
      <c r="P70" s="18"/>
      <c r="Q70" s="18"/>
      <c r="R70" s="40"/>
      <c r="S70" s="18"/>
      <c r="T70" s="18"/>
      <c r="U70" s="18"/>
      <c r="V70" s="40"/>
      <c r="W70" s="18"/>
      <c r="X70" s="18"/>
    </row>
    <row r="71" spans="1:26" ht="15" customHeight="1" x14ac:dyDescent="0.25">
      <c r="D71" s="18"/>
      <c r="E71" s="18"/>
      <c r="G71" s="18"/>
      <c r="H71" s="18"/>
      <c r="I71" s="18"/>
      <c r="J71" s="40"/>
      <c r="K71" s="18"/>
      <c r="L71" s="18"/>
      <c r="M71" s="18"/>
      <c r="P71" s="18"/>
      <c r="Q71" s="18"/>
      <c r="R71" s="40"/>
      <c r="S71" s="18"/>
      <c r="T71" s="18"/>
      <c r="U71" s="18"/>
      <c r="V71" s="40"/>
      <c r="W71" s="18"/>
      <c r="X7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53CAC-1ED6-194E-5E2C-586639C5500B}">
  <sheetPr>
    <tabColor rgb="FF92D050"/>
    <outlinePr summaryBelow="0" summaryRight="0"/>
  </sheetPr>
  <dimension ref="A2:Z6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","206"," - ","Communications")</f>
        <v>Department 206 - Communications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10014.049999999999</v>
      </c>
      <c r="E18" s="23"/>
      <c r="F18" s="31">
        <f t="shared" ref="F18:F53" si="0">IF(D$12=0,0,D18/D$12)</f>
        <v>0</v>
      </c>
      <c r="G18" s="23"/>
      <c r="H18" s="23" cm="1">
        <f t="array" ref="H18">SUM(OSRRefH22x_0)</f>
        <v>12236.75742769231</v>
      </c>
      <c r="I18" s="23"/>
      <c r="J18" s="31">
        <f t="shared" ref="J18:J53" si="1">IF(H$12=0,0,H18/H$12)</f>
        <v>0</v>
      </c>
      <c r="K18" s="5"/>
      <c r="L18" s="23">
        <f t="shared" ref="L18:L53" si="2">+D18-H18</f>
        <v>-2222.7074276923104</v>
      </c>
      <c r="M18" s="5"/>
      <c r="N18" s="31">
        <f t="shared" ref="N18:N53" si="3">IF(H18=0,0,L18/H18)</f>
        <v>-0.18164186393547588</v>
      </c>
      <c r="O18" s="11"/>
      <c r="P18" s="23" cm="1">
        <f t="array" ref="P18">SUM(OSRRefP22x_0)</f>
        <v>99624.959999999992</v>
      </c>
      <c r="Q18" s="23"/>
      <c r="R18" s="31">
        <f t="shared" ref="R18:R53" si="4">IF(P$12=0,0,P18/P$12)</f>
        <v>0</v>
      </c>
      <c r="S18" s="23"/>
      <c r="T18" s="23" cm="1">
        <f t="array" ref="T18">SUM(OSRRefT22x_0)</f>
        <v>146113.8187323077</v>
      </c>
      <c r="U18" s="23"/>
      <c r="V18" s="31">
        <f t="shared" ref="V18:V53" si="5">IF(T$12=0,0,T18/T$12)</f>
        <v>0</v>
      </c>
      <c r="W18" s="5"/>
      <c r="X18" s="23">
        <f t="shared" ref="X18:X53" si="6">+P18-T18</f>
        <v>-46488.858732307708</v>
      </c>
      <c r="Y18" s="5"/>
      <c r="Z18" s="31">
        <f t="shared" ref="Z18:Z53" si="7">IF(T18=0,0,X18/T18)</f>
        <v>-0.31816880248321378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1612.1100000000001</v>
      </c>
      <c r="E19" s="2"/>
      <c r="F19" s="6">
        <f t="shared" si="0"/>
        <v>0</v>
      </c>
      <c r="G19" s="2"/>
      <c r="H19" s="2">
        <f>SUM(OSRRefH22_0x_0)</f>
        <v>2192.0774276923098</v>
      </c>
      <c r="I19" s="2"/>
      <c r="J19" s="6">
        <f t="shared" si="1"/>
        <v>0</v>
      </c>
      <c r="K19" s="2"/>
      <c r="L19" s="2">
        <f t="shared" si="2"/>
        <v>-579.96742769230968</v>
      </c>
      <c r="M19" s="2"/>
      <c r="N19" s="6">
        <f t="shared" si="3"/>
        <v>-0.26457433499639893</v>
      </c>
      <c r="O19" s="14"/>
      <c r="P19" s="2">
        <f>SUM(OSRRefP22_0x_0)</f>
        <v>19596.030000000002</v>
      </c>
      <c r="Q19" s="2"/>
      <c r="R19" s="6">
        <f t="shared" si="4"/>
        <v>0</v>
      </c>
      <c r="S19" s="2"/>
      <c r="T19" s="2">
        <f>SUM(OSRRefT22_0x_0)</f>
        <v>26766.6587323077</v>
      </c>
      <c r="U19" s="2"/>
      <c r="V19" s="6">
        <f t="shared" si="5"/>
        <v>0</v>
      </c>
      <c r="W19" s="2"/>
      <c r="X19" s="2">
        <f t="shared" si="6"/>
        <v>-7170.6287323076976</v>
      </c>
      <c r="Y19" s="2"/>
      <c r="Z19" s="6">
        <f t="shared" si="7"/>
        <v>-0.26789405446607562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626.75</v>
      </c>
      <c r="E20" s="3"/>
      <c r="F20" s="7">
        <f t="shared" si="0"/>
        <v>0</v>
      </c>
      <c r="G20" s="3"/>
      <c r="H20" s="8">
        <v>378.36432000000002</v>
      </c>
      <c r="I20" s="3"/>
      <c r="J20" s="7">
        <f t="shared" si="1"/>
        <v>0</v>
      </c>
      <c r="K20" s="3"/>
      <c r="L20" s="8">
        <f t="shared" si="2"/>
        <v>248.38567999999998</v>
      </c>
      <c r="M20" s="3"/>
      <c r="N20" s="7">
        <f t="shared" si="3"/>
        <v>0.65647225932931508</v>
      </c>
      <c r="O20" s="12"/>
      <c r="P20" s="8">
        <v>5562.31</v>
      </c>
      <c r="Q20" s="3"/>
      <c r="R20" s="7">
        <f t="shared" si="4"/>
        <v>0</v>
      </c>
      <c r="S20" s="3"/>
      <c r="T20" s="8">
        <v>5177.1014400000004</v>
      </c>
      <c r="U20" s="3"/>
      <c r="V20" s="7">
        <f t="shared" si="5"/>
        <v>0</v>
      </c>
      <c r="W20" s="3"/>
      <c r="X20" s="8">
        <f t="shared" si="6"/>
        <v>385.20856000000003</v>
      </c>
      <c r="Y20" s="3"/>
      <c r="Z20" s="7">
        <f t="shared" si="7"/>
        <v>7.440622218134478E-2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156.13999999999999</v>
      </c>
      <c r="E21" s="3"/>
      <c r="F21" s="7">
        <f t="shared" si="0"/>
        <v>0</v>
      </c>
      <c r="G21" s="3"/>
      <c r="H21" s="8">
        <v>23.2624</v>
      </c>
      <c r="I21" s="3"/>
      <c r="J21" s="7">
        <f t="shared" si="1"/>
        <v>0</v>
      </c>
      <c r="K21" s="3"/>
      <c r="L21" s="8">
        <f t="shared" si="2"/>
        <v>132.87759999999997</v>
      </c>
      <c r="M21" s="3"/>
      <c r="N21" s="7">
        <f t="shared" si="3"/>
        <v>5.7121191278629881</v>
      </c>
      <c r="O21" s="12"/>
      <c r="P21" s="8">
        <v>1036.17</v>
      </c>
      <c r="Q21" s="3"/>
      <c r="R21" s="7">
        <f t="shared" si="4"/>
        <v>0</v>
      </c>
      <c r="S21" s="3"/>
      <c r="T21" s="8">
        <v>279.14879999999999</v>
      </c>
      <c r="U21" s="3"/>
      <c r="V21" s="7">
        <f t="shared" si="5"/>
        <v>0</v>
      </c>
      <c r="W21" s="3"/>
      <c r="X21" s="8">
        <f t="shared" si="6"/>
        <v>757.02120000000014</v>
      </c>
      <c r="Y21" s="3"/>
      <c r="Z21" s="7">
        <f t="shared" si="7"/>
        <v>2.7118912923859968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39.83</v>
      </c>
      <c r="E22" s="3"/>
      <c r="F22" s="7">
        <f t="shared" si="0"/>
        <v>0</v>
      </c>
      <c r="G22" s="3"/>
      <c r="H22" s="8">
        <v>1275.6923076923099</v>
      </c>
      <c r="I22" s="3"/>
      <c r="J22" s="7">
        <f t="shared" si="1"/>
        <v>0</v>
      </c>
      <c r="K22" s="3"/>
      <c r="L22" s="8">
        <f t="shared" si="2"/>
        <v>-1235.86230769231</v>
      </c>
      <c r="M22" s="3"/>
      <c r="N22" s="7">
        <f t="shared" si="3"/>
        <v>-0.96877773757838892</v>
      </c>
      <c r="O22" s="12"/>
      <c r="P22" s="8">
        <v>4415.62</v>
      </c>
      <c r="Q22" s="3"/>
      <c r="R22" s="7">
        <f t="shared" si="4"/>
        <v>0</v>
      </c>
      <c r="S22" s="3"/>
      <c r="T22" s="8">
        <v>15308.307692307701</v>
      </c>
      <c r="U22" s="3"/>
      <c r="V22" s="7">
        <f t="shared" si="5"/>
        <v>0</v>
      </c>
      <c r="W22" s="3"/>
      <c r="X22" s="8">
        <f t="shared" si="6"/>
        <v>-10892.6876923077</v>
      </c>
      <c r="Y22" s="3"/>
      <c r="Z22" s="7">
        <f t="shared" si="7"/>
        <v>-0.7115540078790803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31.47</v>
      </c>
      <c r="E23" s="3"/>
      <c r="F23" s="7">
        <f t="shared" si="0"/>
        <v>0</v>
      </c>
      <c r="G23" s="3"/>
      <c r="H23" s="8">
        <v>15.7584</v>
      </c>
      <c r="I23" s="3"/>
      <c r="J23" s="7">
        <f t="shared" si="1"/>
        <v>0</v>
      </c>
      <c r="K23" s="3"/>
      <c r="L23" s="8">
        <f t="shared" si="2"/>
        <v>15.711599999999999</v>
      </c>
      <c r="M23" s="3"/>
      <c r="N23" s="7">
        <f t="shared" si="3"/>
        <v>0.99703015534572026</v>
      </c>
      <c r="O23" s="12"/>
      <c r="P23" s="8">
        <v>208.85</v>
      </c>
      <c r="Q23" s="3"/>
      <c r="R23" s="7">
        <f t="shared" si="4"/>
        <v>0</v>
      </c>
      <c r="S23" s="3"/>
      <c r="T23" s="8">
        <v>189.10079999999999</v>
      </c>
      <c r="U23" s="3"/>
      <c r="V23" s="7">
        <f t="shared" si="5"/>
        <v>0</v>
      </c>
      <c r="W23" s="3"/>
      <c r="X23" s="8">
        <f t="shared" si="6"/>
        <v>19.749200000000002</v>
      </c>
      <c r="Y23" s="3"/>
      <c r="Z23" s="7">
        <f t="shared" si="7"/>
        <v>0.10443742173486312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>
        <v>287.66000000000003</v>
      </c>
      <c r="E26" s="3"/>
      <c r="F26" s="7">
        <f t="shared" si="0"/>
        <v>0</v>
      </c>
      <c r="G26" s="3"/>
      <c r="H26" s="8">
        <v>148.32</v>
      </c>
      <c r="I26" s="3"/>
      <c r="J26" s="7">
        <f t="shared" si="1"/>
        <v>0</v>
      </c>
      <c r="K26" s="3"/>
      <c r="L26" s="8">
        <f t="shared" si="2"/>
        <v>139.34000000000003</v>
      </c>
      <c r="M26" s="3"/>
      <c r="N26" s="7">
        <f t="shared" si="3"/>
        <v>0.93945523193096037</v>
      </c>
      <c r="O26" s="12"/>
      <c r="P26" s="8">
        <v>3458.95</v>
      </c>
      <c r="Q26" s="3"/>
      <c r="R26" s="7">
        <f t="shared" si="4"/>
        <v>0</v>
      </c>
      <c r="S26" s="3"/>
      <c r="T26" s="8">
        <v>1779.84</v>
      </c>
      <c r="U26" s="3"/>
      <c r="V26" s="7">
        <f t="shared" si="5"/>
        <v>0</v>
      </c>
      <c r="W26" s="3"/>
      <c r="X26" s="8">
        <f t="shared" si="6"/>
        <v>1679.11</v>
      </c>
      <c r="Y26" s="3"/>
      <c r="Z26" s="7">
        <f t="shared" si="7"/>
        <v>0.94340502517080183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>
        <v>230.26</v>
      </c>
      <c r="E27" s="3"/>
      <c r="F27" s="7">
        <f t="shared" si="0"/>
        <v>0</v>
      </c>
      <c r="G27" s="3"/>
      <c r="H27" s="8">
        <v>175.68</v>
      </c>
      <c r="I27" s="3"/>
      <c r="J27" s="7">
        <f t="shared" si="1"/>
        <v>0</v>
      </c>
      <c r="K27" s="3"/>
      <c r="L27" s="8">
        <f t="shared" si="2"/>
        <v>54.579999999999984</v>
      </c>
      <c r="M27" s="3"/>
      <c r="N27" s="7">
        <f t="shared" si="3"/>
        <v>0.31067850637522759</v>
      </c>
      <c r="O27" s="12"/>
      <c r="P27" s="8">
        <v>3032.66</v>
      </c>
      <c r="Q27" s="3"/>
      <c r="R27" s="7">
        <f t="shared" si="4"/>
        <v>0</v>
      </c>
      <c r="S27" s="3"/>
      <c r="T27" s="8">
        <v>2108.16</v>
      </c>
      <c r="U27" s="3"/>
      <c r="V27" s="7">
        <f t="shared" si="5"/>
        <v>0</v>
      </c>
      <c r="W27" s="3"/>
      <c r="X27" s="8">
        <f t="shared" si="6"/>
        <v>924.5</v>
      </c>
      <c r="Y27" s="3"/>
      <c r="Z27" s="7">
        <f t="shared" si="7"/>
        <v>0.43853407710989684</v>
      </c>
    </row>
    <row r="28" spans="1:26" s="70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8">
        <v>240</v>
      </c>
      <c r="E28" s="3"/>
      <c r="F28" s="7">
        <f t="shared" si="0"/>
        <v>0</v>
      </c>
      <c r="G28" s="3"/>
      <c r="H28" s="8">
        <v>175</v>
      </c>
      <c r="I28" s="3"/>
      <c r="J28" s="7">
        <f t="shared" si="1"/>
        <v>0</v>
      </c>
      <c r="K28" s="3"/>
      <c r="L28" s="8">
        <f t="shared" si="2"/>
        <v>65</v>
      </c>
      <c r="M28" s="3"/>
      <c r="N28" s="7">
        <f t="shared" si="3"/>
        <v>0.37142857142857144</v>
      </c>
      <c r="O28" s="12"/>
      <c r="P28" s="8">
        <v>1881.47</v>
      </c>
      <c r="Q28" s="3"/>
      <c r="R28" s="7">
        <f t="shared" si="4"/>
        <v>0</v>
      </c>
      <c r="S28" s="3"/>
      <c r="T28" s="8">
        <v>1925</v>
      </c>
      <c r="U28" s="3"/>
      <c r="V28" s="7">
        <f t="shared" si="5"/>
        <v>0</v>
      </c>
      <c r="W28" s="3"/>
      <c r="X28" s="8">
        <f t="shared" si="6"/>
        <v>-43.529999999999973</v>
      </c>
      <c r="Y28" s="3"/>
      <c r="Z28" s="7">
        <f t="shared" si="7"/>
        <v>-2.2612987012986998E-2</v>
      </c>
    </row>
    <row r="29" spans="1:26" s="69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8192.73</v>
      </c>
      <c r="E29" s="2"/>
      <c r="F29" s="6">
        <f t="shared" si="0"/>
        <v>0</v>
      </c>
      <c r="G29" s="2"/>
      <c r="H29" s="2">
        <f>SUM(OSRRefH22_1x_0)</f>
        <v>7355.68</v>
      </c>
      <c r="I29" s="2"/>
      <c r="J29" s="6">
        <f t="shared" si="1"/>
        <v>0</v>
      </c>
      <c r="K29" s="2"/>
      <c r="L29" s="2">
        <f t="shared" si="2"/>
        <v>837.04999999999927</v>
      </c>
      <c r="M29" s="2"/>
      <c r="N29" s="6">
        <f t="shared" si="3"/>
        <v>0.11379641311204393</v>
      </c>
      <c r="O29" s="14"/>
      <c r="P29" s="2">
        <f>SUM(OSRRefP22_1x_0)</f>
        <v>77461.59</v>
      </c>
      <c r="Q29" s="2"/>
      <c r="R29" s="6">
        <f t="shared" si="4"/>
        <v>0</v>
      </c>
      <c r="S29" s="2"/>
      <c r="T29" s="2">
        <f>SUM(OSRRefT22_1x_0)</f>
        <v>88268.160000000003</v>
      </c>
      <c r="U29" s="2"/>
      <c r="V29" s="6">
        <f t="shared" si="5"/>
        <v>0</v>
      </c>
      <c r="W29" s="2"/>
      <c r="X29" s="2">
        <f t="shared" si="6"/>
        <v>-10806.570000000007</v>
      </c>
      <c r="Y29" s="2"/>
      <c r="Z29" s="6">
        <f t="shared" si="7"/>
        <v>-0.12242885769908432</v>
      </c>
    </row>
    <row r="30" spans="1:26" s="70" customFormat="1" ht="15" hidden="1" customHeight="1" outlineLevel="2" x14ac:dyDescent="0.25">
      <c r="A30" s="25"/>
      <c r="B30" s="12" t="str">
        <f>CONCATENATE("          ","6001"," - ","ADMINISTRATIVE SALARIES")</f>
        <v xml:space="preserve">          6001 - ADMINISTRATIVE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25">
      <c r="A31" s="25"/>
      <c r="B31" s="12" t="str">
        <f>CONCATENATE("          ","6002"," - ","STAFF SALARIES")</f>
        <v xml:space="preserve">          6002 - STAFF SALARIES</v>
      </c>
      <c r="C31" s="12"/>
      <c r="D31" s="8"/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8">
        <v>5379.1</v>
      </c>
      <c r="E33" s="3"/>
      <c r="F33" s="7">
        <f t="shared" si="0"/>
        <v>0</v>
      </c>
      <c r="G33" s="3"/>
      <c r="H33" s="8">
        <v>4795.68</v>
      </c>
      <c r="I33" s="3"/>
      <c r="J33" s="7">
        <f t="shared" si="1"/>
        <v>0</v>
      </c>
      <c r="K33" s="3"/>
      <c r="L33" s="8">
        <f t="shared" si="2"/>
        <v>583.42000000000007</v>
      </c>
      <c r="M33" s="3"/>
      <c r="N33" s="7">
        <f t="shared" si="3"/>
        <v>0.12165532312414506</v>
      </c>
      <c r="O33" s="12"/>
      <c r="P33" s="8">
        <v>55571.96</v>
      </c>
      <c r="Q33" s="3"/>
      <c r="R33" s="7">
        <f t="shared" si="4"/>
        <v>0</v>
      </c>
      <c r="S33" s="3"/>
      <c r="T33" s="8">
        <v>57548.160000000003</v>
      </c>
      <c r="U33" s="3"/>
      <c r="V33" s="7">
        <f t="shared" si="5"/>
        <v>0</v>
      </c>
      <c r="W33" s="3"/>
      <c r="X33" s="8">
        <f t="shared" si="6"/>
        <v>-1976.2000000000044</v>
      </c>
      <c r="Y33" s="3"/>
      <c r="Z33" s="7">
        <f t="shared" si="7"/>
        <v>-3.433993371812416E-2</v>
      </c>
    </row>
    <row r="34" spans="1:26" s="70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8">
        <v>2813.63</v>
      </c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2813.63</v>
      </c>
      <c r="M34" s="3"/>
      <c r="N34" s="7">
        <f t="shared" si="3"/>
        <v>0</v>
      </c>
      <c r="O34" s="12"/>
      <c r="P34" s="8">
        <v>10414.43</v>
      </c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10414.43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0</v>
      </c>
      <c r="Q36" s="3"/>
      <c r="R36" s="7">
        <f t="shared" si="4"/>
        <v>0</v>
      </c>
      <c r="S36" s="3"/>
      <c r="T36" s="8">
        <v>8320</v>
      </c>
      <c r="U36" s="3"/>
      <c r="V36" s="7">
        <f t="shared" si="5"/>
        <v>0</v>
      </c>
      <c r="W36" s="3"/>
      <c r="X36" s="8">
        <f t="shared" si="6"/>
        <v>-8320</v>
      </c>
      <c r="Y36" s="3"/>
      <c r="Z36" s="7">
        <f t="shared" si="7"/>
        <v>-1</v>
      </c>
    </row>
    <row r="37" spans="1:26" s="70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2560</v>
      </c>
      <c r="I37" s="3"/>
      <c r="J37" s="7">
        <f t="shared" si="1"/>
        <v>0</v>
      </c>
      <c r="K37" s="3"/>
      <c r="L37" s="8">
        <f t="shared" si="2"/>
        <v>-2560</v>
      </c>
      <c r="M37" s="3"/>
      <c r="N37" s="7">
        <f t="shared" si="3"/>
        <v>-1</v>
      </c>
      <c r="O37" s="12"/>
      <c r="P37" s="8">
        <v>11475.2</v>
      </c>
      <c r="Q37" s="3"/>
      <c r="R37" s="7">
        <f t="shared" si="4"/>
        <v>0</v>
      </c>
      <c r="S37" s="3"/>
      <c r="T37" s="8">
        <v>22400</v>
      </c>
      <c r="U37" s="3"/>
      <c r="V37" s="7">
        <f t="shared" si="5"/>
        <v>0</v>
      </c>
      <c r="W37" s="3"/>
      <c r="X37" s="8">
        <f t="shared" si="6"/>
        <v>-10924.8</v>
      </c>
      <c r="Y37" s="3"/>
      <c r="Z37" s="7">
        <f t="shared" si="7"/>
        <v>-0.48771428571428566</v>
      </c>
    </row>
    <row r="38" spans="1:26" s="70" customFormat="1" ht="15" hidden="1" customHeight="1" outlineLevel="2" x14ac:dyDescent="0.25">
      <c r="A38" s="25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25">
      <c r="A40" s="26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173.21</v>
      </c>
      <c r="E40" s="2"/>
      <c r="F40" s="6">
        <f t="shared" si="0"/>
        <v>0</v>
      </c>
      <c r="G40" s="2"/>
      <c r="H40" s="2">
        <f>SUM(OSRRefH22_2x_0)</f>
        <v>417</v>
      </c>
      <c r="I40" s="2"/>
      <c r="J40" s="6">
        <f t="shared" si="1"/>
        <v>0</v>
      </c>
      <c r="K40" s="2"/>
      <c r="L40" s="2">
        <f t="shared" si="2"/>
        <v>-243.79</v>
      </c>
      <c r="M40" s="2"/>
      <c r="N40" s="6">
        <f t="shared" si="3"/>
        <v>-0.58462829736211031</v>
      </c>
      <c r="O40" s="14"/>
      <c r="P40" s="2">
        <f>SUM(OSRRefP22_2x_0)</f>
        <v>1965.54</v>
      </c>
      <c r="Q40" s="2"/>
      <c r="R40" s="6">
        <f t="shared" si="4"/>
        <v>0</v>
      </c>
      <c r="S40" s="2"/>
      <c r="T40" s="2">
        <f>SUM(OSRRefT22_2x_0)</f>
        <v>4587</v>
      </c>
      <c r="U40" s="2"/>
      <c r="V40" s="6">
        <f t="shared" si="5"/>
        <v>0</v>
      </c>
      <c r="W40" s="2"/>
      <c r="X40" s="2">
        <f t="shared" si="6"/>
        <v>-2621.46</v>
      </c>
      <c r="Y40" s="2"/>
      <c r="Z40" s="6">
        <f t="shared" si="7"/>
        <v>-0.57149771092217139</v>
      </c>
    </row>
    <row r="41" spans="1:26" s="70" customFormat="1" ht="15" hidden="1" customHeight="1" outlineLevel="2" x14ac:dyDescent="0.25">
      <c r="A41" s="25"/>
      <c r="B41" s="12" t="str">
        <f>CONCATENATE("          ","6362"," - ","ADVERTISING EXPENSE")</f>
        <v xml:space="preserve">          6362 - ADVERTISING EXPENSE</v>
      </c>
      <c r="C41" s="12"/>
      <c r="D41" s="8">
        <v>173.21</v>
      </c>
      <c r="E41" s="3"/>
      <c r="F41" s="7">
        <f t="shared" si="0"/>
        <v>0</v>
      </c>
      <c r="G41" s="3"/>
      <c r="H41" s="8">
        <v>417</v>
      </c>
      <c r="I41" s="3"/>
      <c r="J41" s="7">
        <f t="shared" si="1"/>
        <v>0</v>
      </c>
      <c r="K41" s="3"/>
      <c r="L41" s="8">
        <f t="shared" si="2"/>
        <v>-243.79</v>
      </c>
      <c r="M41" s="3"/>
      <c r="N41" s="7">
        <f t="shared" si="3"/>
        <v>-0.58462829736211031</v>
      </c>
      <c r="O41" s="12"/>
      <c r="P41" s="8">
        <v>1965.54</v>
      </c>
      <c r="Q41" s="3"/>
      <c r="R41" s="7">
        <f t="shared" si="4"/>
        <v>0</v>
      </c>
      <c r="S41" s="3"/>
      <c r="T41" s="8">
        <v>4587</v>
      </c>
      <c r="U41" s="3"/>
      <c r="V41" s="7">
        <f t="shared" si="5"/>
        <v>0</v>
      </c>
      <c r="W41" s="3"/>
      <c r="X41" s="8">
        <f t="shared" si="6"/>
        <v>-2621.46</v>
      </c>
      <c r="Y41" s="3"/>
      <c r="Z41" s="7">
        <f t="shared" si="7"/>
        <v>-0.57149771092217139</v>
      </c>
    </row>
    <row r="42" spans="1:26" s="69" customFormat="1" ht="15" customHeight="1" outlineLevel="1" collapsed="1" x14ac:dyDescent="0.25">
      <c r="A42" s="26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0</v>
      </c>
      <c r="Q42" s="2"/>
      <c r="R42" s="6">
        <f t="shared" si="4"/>
        <v>0</v>
      </c>
      <c r="S42" s="2"/>
      <c r="T42" s="2">
        <f>SUM(OSRRefT22_3x_0)</f>
        <v>500</v>
      </c>
      <c r="U42" s="2"/>
      <c r="V42" s="6">
        <f t="shared" si="5"/>
        <v>0</v>
      </c>
      <c r="W42" s="2"/>
      <c r="X42" s="2">
        <f t="shared" si="6"/>
        <v>-500</v>
      </c>
      <c r="Y42" s="2"/>
      <c r="Z42" s="6">
        <f t="shared" si="7"/>
        <v>-1</v>
      </c>
    </row>
    <row r="43" spans="1:26" s="70" customFormat="1" ht="15" hidden="1" customHeight="1" outlineLevel="2" x14ac:dyDescent="0.25">
      <c r="A43" s="25"/>
      <c r="B43" s="12" t="str">
        <f>CONCATENATE("          ","6277"," - ","EMPLOYEE APPRECIATION")</f>
        <v xml:space="preserve">          6277 - EMPLOYEE APPRECIATION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500</v>
      </c>
      <c r="U43" s="3"/>
      <c r="V43" s="7">
        <f t="shared" si="5"/>
        <v>0</v>
      </c>
      <c r="W43" s="3"/>
      <c r="X43" s="8">
        <f t="shared" si="6"/>
        <v>-500</v>
      </c>
      <c r="Y43" s="3"/>
      <c r="Z43" s="7">
        <f t="shared" si="7"/>
        <v>-1</v>
      </c>
    </row>
    <row r="44" spans="1:26" s="69" customFormat="1" ht="15" customHeight="1" outlineLevel="1" collapsed="1" x14ac:dyDescent="0.25">
      <c r="A44" s="26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1600</v>
      </c>
      <c r="I44" s="2"/>
      <c r="J44" s="6">
        <f t="shared" si="1"/>
        <v>0</v>
      </c>
      <c r="K44" s="2"/>
      <c r="L44" s="2">
        <f t="shared" si="2"/>
        <v>-1600</v>
      </c>
      <c r="M44" s="2"/>
      <c r="N44" s="6">
        <f t="shared" si="3"/>
        <v>-1</v>
      </c>
      <c r="O44" s="14"/>
      <c r="P44" s="2">
        <f>SUM(OSRRefP22_4x_0)</f>
        <v>63.36</v>
      </c>
      <c r="Q44" s="2"/>
      <c r="R44" s="6">
        <f t="shared" si="4"/>
        <v>0</v>
      </c>
      <c r="S44" s="2"/>
      <c r="T44" s="2">
        <f>SUM(OSRRefT22_4x_0)</f>
        <v>17600</v>
      </c>
      <c r="U44" s="2"/>
      <c r="V44" s="6">
        <f t="shared" si="5"/>
        <v>0</v>
      </c>
      <c r="W44" s="2"/>
      <c r="X44" s="2">
        <f t="shared" si="6"/>
        <v>-17536.64</v>
      </c>
      <c r="Y44" s="2"/>
      <c r="Z44" s="6">
        <f t="shared" si="7"/>
        <v>-0.99639999999999995</v>
      </c>
    </row>
    <row r="45" spans="1:26" s="70" customFormat="1" ht="15" hidden="1" customHeight="1" outlineLevel="2" x14ac:dyDescent="0.25">
      <c r="A45" s="25"/>
      <c r="B45" s="12" t="str">
        <f>CONCATENATE("          ","6371"," - ","COMPUTER SOFTWARE MAINTENANCE")</f>
        <v xml:space="preserve">          6371 - COMPUTER SOFTWARE MAINTENANCE</v>
      </c>
      <c r="C45" s="12"/>
      <c r="D45" s="8"/>
      <c r="E45" s="3"/>
      <c r="F45" s="7">
        <f t="shared" si="0"/>
        <v>0</v>
      </c>
      <c r="G45" s="3"/>
      <c r="H45" s="8">
        <v>1600</v>
      </c>
      <c r="I45" s="3"/>
      <c r="J45" s="7">
        <f t="shared" si="1"/>
        <v>0</v>
      </c>
      <c r="K45" s="3"/>
      <c r="L45" s="8">
        <f t="shared" si="2"/>
        <v>-1600</v>
      </c>
      <c r="M45" s="3"/>
      <c r="N45" s="7">
        <f t="shared" si="3"/>
        <v>-1</v>
      </c>
      <c r="O45" s="12"/>
      <c r="P45" s="8"/>
      <c r="Q45" s="3"/>
      <c r="R45" s="7">
        <f t="shared" si="4"/>
        <v>0</v>
      </c>
      <c r="S45" s="3"/>
      <c r="T45" s="8">
        <v>17600</v>
      </c>
      <c r="U45" s="3"/>
      <c r="V45" s="7">
        <f t="shared" si="5"/>
        <v>0</v>
      </c>
      <c r="W45" s="3"/>
      <c r="X45" s="8">
        <f t="shared" si="6"/>
        <v>-17600</v>
      </c>
      <c r="Y45" s="3"/>
      <c r="Z45" s="7">
        <f t="shared" si="7"/>
        <v>-1</v>
      </c>
    </row>
    <row r="46" spans="1:26" s="70" customFormat="1" ht="15" hidden="1" customHeight="1" outlineLevel="2" x14ac:dyDescent="0.25">
      <c r="A46" s="25"/>
      <c r="B46" s="12" t="str">
        <f>CONCATENATE("          ","6375"," - ","OUTSIDE REPAIRS &amp; MAINTENANCE")</f>
        <v xml:space="preserve">          6375 - OUTSIDE REPAIRS &amp; MAINTENANCE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63.36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63.36</v>
      </c>
      <c r="Y46" s="3"/>
      <c r="Z46" s="7">
        <f t="shared" si="7"/>
        <v>0</v>
      </c>
    </row>
    <row r="47" spans="1:26" s="69" customFormat="1" ht="15" customHeight="1" outlineLevel="1" collapsed="1" x14ac:dyDescent="0.25">
      <c r="A47" s="26"/>
      <c r="B47" s="14" t="str">
        <f>CONCATENATE("     ","Supplies                                          ")</f>
        <v xml:space="preserve">     Supplies                                          </v>
      </c>
      <c r="C47" s="14"/>
      <c r="D47" s="2">
        <f>SUM(OSRRefD22_5x_0)</f>
        <v>0</v>
      </c>
      <c r="E47" s="2"/>
      <c r="F47" s="6">
        <f t="shared" si="0"/>
        <v>0</v>
      </c>
      <c r="G47" s="2"/>
      <c r="H47" s="2">
        <f>SUM(OSRRefH22_5x_0)</f>
        <v>600</v>
      </c>
      <c r="I47" s="2"/>
      <c r="J47" s="6">
        <f t="shared" si="1"/>
        <v>0</v>
      </c>
      <c r="K47" s="2"/>
      <c r="L47" s="2">
        <f t="shared" si="2"/>
        <v>-600</v>
      </c>
      <c r="M47" s="2"/>
      <c r="N47" s="6">
        <f t="shared" si="3"/>
        <v>-1</v>
      </c>
      <c r="O47" s="14"/>
      <c r="P47" s="2">
        <f>SUM(OSRRefP22_5x_0)</f>
        <v>70.040000000000006</v>
      </c>
      <c r="Q47" s="2"/>
      <c r="R47" s="6">
        <f t="shared" si="4"/>
        <v>0</v>
      </c>
      <c r="S47" s="2"/>
      <c r="T47" s="2">
        <f>SUM(OSRRefT22_5x_0)</f>
        <v>6600</v>
      </c>
      <c r="U47" s="2"/>
      <c r="V47" s="6">
        <f t="shared" si="5"/>
        <v>0</v>
      </c>
      <c r="W47" s="2"/>
      <c r="X47" s="2">
        <f t="shared" si="6"/>
        <v>-6529.96</v>
      </c>
      <c r="Y47" s="2"/>
      <c r="Z47" s="6">
        <f t="shared" si="7"/>
        <v>-0.98938787878787882</v>
      </c>
    </row>
    <row r="48" spans="1:26" s="70" customFormat="1" ht="15" hidden="1" customHeight="1" outlineLevel="2" x14ac:dyDescent="0.25">
      <c r="A48" s="25"/>
      <c r="B48" s="12" t="str">
        <f>CONCATENATE("          ","6241"," - ","OFFICE EXPENSE")</f>
        <v xml:space="preserve">          6241 - OFFICE EXPENSE</v>
      </c>
      <c r="C48" s="12"/>
      <c r="D48" s="8"/>
      <c r="E48" s="3"/>
      <c r="F48" s="7">
        <f t="shared" si="0"/>
        <v>0</v>
      </c>
      <c r="G48" s="3"/>
      <c r="H48" s="8">
        <v>600</v>
      </c>
      <c r="I48" s="3"/>
      <c r="J48" s="7">
        <f t="shared" si="1"/>
        <v>0</v>
      </c>
      <c r="K48" s="3"/>
      <c r="L48" s="8">
        <f t="shared" si="2"/>
        <v>-600</v>
      </c>
      <c r="M48" s="3"/>
      <c r="N48" s="7">
        <f t="shared" si="3"/>
        <v>-1</v>
      </c>
      <c r="O48" s="12"/>
      <c r="P48" s="8">
        <v>70.040000000000006</v>
      </c>
      <c r="Q48" s="3"/>
      <c r="R48" s="7">
        <f t="shared" si="4"/>
        <v>0</v>
      </c>
      <c r="S48" s="3"/>
      <c r="T48" s="8">
        <v>6600</v>
      </c>
      <c r="U48" s="3"/>
      <c r="V48" s="7">
        <f t="shared" si="5"/>
        <v>0</v>
      </c>
      <c r="W48" s="3"/>
      <c r="X48" s="8">
        <f t="shared" si="6"/>
        <v>-6529.96</v>
      </c>
      <c r="Y48" s="3"/>
      <c r="Z48" s="7">
        <f t="shared" si="7"/>
        <v>-0.98938787878787882</v>
      </c>
    </row>
    <row r="49" spans="1:26" s="69" customFormat="1" ht="15" customHeight="1" outlineLevel="1" collapsed="1" x14ac:dyDescent="0.25">
      <c r="A49" s="26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36</v>
      </c>
      <c r="E49" s="2"/>
      <c r="F49" s="6">
        <f t="shared" si="0"/>
        <v>0</v>
      </c>
      <c r="G49" s="2"/>
      <c r="H49" s="2">
        <f>SUM(OSRRefH22_6x_0)</f>
        <v>72</v>
      </c>
      <c r="I49" s="2"/>
      <c r="J49" s="6">
        <f t="shared" si="1"/>
        <v>0</v>
      </c>
      <c r="K49" s="2"/>
      <c r="L49" s="2">
        <f t="shared" si="2"/>
        <v>-36</v>
      </c>
      <c r="M49" s="2"/>
      <c r="N49" s="6">
        <f t="shared" si="3"/>
        <v>-0.5</v>
      </c>
      <c r="O49" s="14"/>
      <c r="P49" s="2">
        <f>SUM(OSRRefP22_6x_0)</f>
        <v>468.4</v>
      </c>
      <c r="Q49" s="2"/>
      <c r="R49" s="6">
        <f t="shared" si="4"/>
        <v>0</v>
      </c>
      <c r="S49" s="2"/>
      <c r="T49" s="2">
        <f>SUM(OSRRefT22_6x_0)</f>
        <v>792</v>
      </c>
      <c r="U49" s="2"/>
      <c r="V49" s="6">
        <f t="shared" si="5"/>
        <v>0</v>
      </c>
      <c r="W49" s="2"/>
      <c r="X49" s="2">
        <f t="shared" si="6"/>
        <v>-323.60000000000002</v>
      </c>
      <c r="Y49" s="2"/>
      <c r="Z49" s="6">
        <f t="shared" si="7"/>
        <v>-0.40858585858585861</v>
      </c>
    </row>
    <row r="50" spans="1:26" s="70" customFormat="1" ht="15" hidden="1" customHeight="1" outlineLevel="2" x14ac:dyDescent="0.25">
      <c r="A50" s="25"/>
      <c r="B50" s="12" t="str">
        <f>CONCATENATE("          ","6303"," - ","DATA PHONE LINES")</f>
        <v xml:space="preserve">          6303 - DATA PHONE LINES</v>
      </c>
      <c r="C50" s="12"/>
      <c r="D50" s="8"/>
      <c r="E50" s="3"/>
      <c r="F50" s="7">
        <f t="shared" si="0"/>
        <v>0</v>
      </c>
      <c r="G50" s="3"/>
      <c r="H50" s="8">
        <v>36</v>
      </c>
      <c r="I50" s="3"/>
      <c r="J50" s="7">
        <f t="shared" si="1"/>
        <v>0</v>
      </c>
      <c r="K50" s="3"/>
      <c r="L50" s="8">
        <f t="shared" si="2"/>
        <v>-36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396</v>
      </c>
      <c r="U50" s="3"/>
      <c r="V50" s="7">
        <f t="shared" si="5"/>
        <v>0</v>
      </c>
      <c r="W50" s="3"/>
      <c r="X50" s="8">
        <f t="shared" si="6"/>
        <v>-396</v>
      </c>
      <c r="Y50" s="3"/>
      <c r="Z50" s="7">
        <f t="shared" si="7"/>
        <v>-1</v>
      </c>
    </row>
    <row r="51" spans="1:26" s="70" customFormat="1" ht="15" hidden="1" customHeight="1" outlineLevel="2" x14ac:dyDescent="0.25">
      <c r="A51" s="25"/>
      <c r="B51" s="12" t="str">
        <f>CONCATENATE("          ","6309"," - ","TELEPHONE")</f>
        <v xml:space="preserve">          6309 - TELEPHONE</v>
      </c>
      <c r="C51" s="12"/>
      <c r="D51" s="8">
        <v>36</v>
      </c>
      <c r="E51" s="3"/>
      <c r="F51" s="7">
        <f t="shared" si="0"/>
        <v>0</v>
      </c>
      <c r="G51" s="3"/>
      <c r="H51" s="8">
        <v>36</v>
      </c>
      <c r="I51" s="3"/>
      <c r="J51" s="7">
        <f t="shared" si="1"/>
        <v>0</v>
      </c>
      <c r="K51" s="3"/>
      <c r="L51" s="8">
        <f t="shared" si="2"/>
        <v>0</v>
      </c>
      <c r="M51" s="3"/>
      <c r="N51" s="7">
        <f t="shared" si="3"/>
        <v>0</v>
      </c>
      <c r="O51" s="12"/>
      <c r="P51" s="8">
        <v>468.4</v>
      </c>
      <c r="Q51" s="3"/>
      <c r="R51" s="7">
        <f t="shared" si="4"/>
        <v>0</v>
      </c>
      <c r="S51" s="3"/>
      <c r="T51" s="8">
        <v>396</v>
      </c>
      <c r="U51" s="3"/>
      <c r="V51" s="7">
        <f t="shared" si="5"/>
        <v>0</v>
      </c>
      <c r="W51" s="3"/>
      <c r="X51" s="8">
        <f t="shared" si="6"/>
        <v>72.399999999999977</v>
      </c>
      <c r="Y51" s="3"/>
      <c r="Z51" s="7">
        <f t="shared" si="7"/>
        <v>0.18282828282828278</v>
      </c>
    </row>
    <row r="52" spans="1:26" s="69" customFormat="1" ht="15" customHeight="1" outlineLevel="1" collapsed="1" x14ac:dyDescent="0.25">
      <c r="A52" s="26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0</v>
      </c>
      <c r="E52" s="2"/>
      <c r="F52" s="6">
        <f t="shared" si="0"/>
        <v>0</v>
      </c>
      <c r="G52" s="2"/>
      <c r="H52" s="2">
        <f>SUM(OSRRefH22_7x_0)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SUM(OSRRefP22_7x_0)</f>
        <v>0</v>
      </c>
      <c r="Q52" s="2"/>
      <c r="R52" s="6">
        <f t="shared" si="4"/>
        <v>0</v>
      </c>
      <c r="S52" s="2"/>
      <c r="T52" s="2">
        <f>SUM(OSRRefT22_7x_0)</f>
        <v>1000</v>
      </c>
      <c r="U52" s="2"/>
      <c r="V52" s="6">
        <f t="shared" si="5"/>
        <v>0</v>
      </c>
      <c r="W52" s="2"/>
      <c r="X52" s="2">
        <f t="shared" si="6"/>
        <v>-1000</v>
      </c>
      <c r="Y52" s="2"/>
      <c r="Z52" s="6">
        <f t="shared" si="7"/>
        <v>-1</v>
      </c>
    </row>
    <row r="53" spans="1:26" s="70" customFormat="1" ht="15" hidden="1" customHeight="1" outlineLevel="2" x14ac:dyDescent="0.25">
      <c r="A53" s="25"/>
      <c r="B53" s="12" t="str">
        <f>CONCATENATE("          ","6376"," - ","TRAINING")</f>
        <v xml:space="preserve">          6376 - TRAINING</v>
      </c>
      <c r="C53" s="12"/>
      <c r="D53" s="8"/>
      <c r="E53" s="3"/>
      <c r="F53" s="7">
        <f t="shared" si="0"/>
        <v>0</v>
      </c>
      <c r="G53" s="3"/>
      <c r="H53" s="8"/>
      <c r="I53" s="3"/>
      <c r="J53" s="7">
        <f t="shared" si="1"/>
        <v>0</v>
      </c>
      <c r="K53" s="3"/>
      <c r="L53" s="8">
        <f t="shared" si="2"/>
        <v>0</v>
      </c>
      <c r="M53" s="3"/>
      <c r="N53" s="7">
        <f t="shared" si="3"/>
        <v>0</v>
      </c>
      <c r="O53" s="12"/>
      <c r="P53" s="8"/>
      <c r="Q53" s="3"/>
      <c r="R53" s="7">
        <f t="shared" si="4"/>
        <v>0</v>
      </c>
      <c r="S53" s="3"/>
      <c r="T53" s="8">
        <v>1000</v>
      </c>
      <c r="U53" s="3"/>
      <c r="V53" s="7">
        <f t="shared" si="5"/>
        <v>0</v>
      </c>
      <c r="W53" s="3"/>
      <c r="X53" s="8">
        <f t="shared" si="6"/>
        <v>-1000</v>
      </c>
      <c r="Y53" s="3"/>
      <c r="Z53" s="7">
        <f t="shared" si="7"/>
        <v>-1</v>
      </c>
    </row>
    <row r="54" spans="1:26" s="65" customFormat="1" ht="15" customHeight="1" x14ac:dyDescent="0.25">
      <c r="A54" s="35"/>
      <c r="B54" s="35"/>
      <c r="C54" s="35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35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63" customFormat="1" ht="15" customHeight="1" x14ac:dyDescent="0.25">
      <c r="A55" s="11"/>
      <c r="B55" s="27" t="s">
        <v>291</v>
      </c>
      <c r="C55" s="11"/>
      <c r="D55" s="5">
        <f>SUM(0)</f>
        <v>0</v>
      </c>
      <c r="E55" s="5"/>
      <c r="F55" s="13">
        <f>IF(D$12=0,0,D55/D$12)</f>
        <v>0</v>
      </c>
      <c r="G55" s="5"/>
      <c r="H55" s="5">
        <f>SUM(0)</f>
        <v>0</v>
      </c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>
        <f>SUM(0)</f>
        <v>0</v>
      </c>
      <c r="Q55" s="5"/>
      <c r="R55" s="13">
        <f>IF(P$12=0,0,P55/P$12)</f>
        <v>0</v>
      </c>
      <c r="S55" s="5"/>
      <c r="T55" s="5">
        <f>SUM(0)</f>
        <v>0</v>
      </c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25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25">
      <c r="A57" s="11"/>
      <c r="B57" s="28" t="s">
        <v>292</v>
      </c>
      <c r="C57" s="28"/>
      <c r="D57" s="22">
        <f>+D16-D18+D55</f>
        <v>-10014.049999999999</v>
      </c>
      <c r="E57" s="15"/>
      <c r="F57" s="21">
        <f>IF(D$12=0,0,D57/D$12)</f>
        <v>0</v>
      </c>
      <c r="G57" s="15"/>
      <c r="H57" s="22">
        <f>+H16-H18+H55</f>
        <v>-12236.75742769231</v>
      </c>
      <c r="I57" s="15"/>
      <c r="J57" s="21">
        <f>IF(H$12=0,0,H57/H$12)</f>
        <v>0</v>
      </c>
      <c r="K57" s="16"/>
      <c r="L57" s="22">
        <f>+D57-H57</f>
        <v>2222.7074276923104</v>
      </c>
      <c r="M57" s="16"/>
      <c r="N57" s="21">
        <f>IF(H57=0,0,L57/H57)</f>
        <v>-0.18164186393547588</v>
      </c>
      <c r="O57" s="27"/>
      <c r="P57" s="22">
        <f>+P16-P18+P55</f>
        <v>-99624.959999999992</v>
      </c>
      <c r="Q57" s="15"/>
      <c r="R57" s="21">
        <f>IF(P$12=0,0,P57/P$12)</f>
        <v>0</v>
      </c>
      <c r="S57" s="15"/>
      <c r="T57" s="22">
        <f>+T16-T18+T55</f>
        <v>-146113.8187323077</v>
      </c>
      <c r="U57" s="15"/>
      <c r="V57" s="21">
        <f>IF(T$12=0,0,T57/T$12)</f>
        <v>0</v>
      </c>
      <c r="W57" s="16"/>
      <c r="X57" s="22">
        <f>+P57-T57</f>
        <v>46488.858732307708</v>
      </c>
      <c r="Y57" s="16"/>
      <c r="Z57" s="21">
        <f>IF(T57=0,0,X57/T57)</f>
        <v>-0.31816880248321378</v>
      </c>
    </row>
    <row r="58" spans="1:26" ht="15" customHeight="1" x14ac:dyDescent="0.25">
      <c r="A58" s="10"/>
      <c r="B58" s="11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25">
      <c r="A59" s="49"/>
      <c r="B59" s="11" t="s">
        <v>293</v>
      </c>
      <c r="C59" s="11"/>
      <c r="D59" s="5"/>
      <c r="E59" s="5"/>
      <c r="F59" s="13">
        <f>IF(D$12=0,0,D59/D$12)</f>
        <v>0</v>
      </c>
      <c r="G59" s="5"/>
      <c r="H59" s="5"/>
      <c r="I59" s="5"/>
      <c r="J59" s="13">
        <f>IF(H$12=0,0,H59/H$12)</f>
        <v>0</v>
      </c>
      <c r="K59" s="5"/>
      <c r="L59" s="5">
        <f>+D59-H59</f>
        <v>0</v>
      </c>
      <c r="M59" s="5"/>
      <c r="N59" s="13">
        <f>IF(H59=0,0,L59/H59)</f>
        <v>0</v>
      </c>
      <c r="O59" s="11"/>
      <c r="P59" s="5"/>
      <c r="Q59" s="5"/>
      <c r="R59" s="13">
        <f>IF(P$12=0,0,P59/P$12)</f>
        <v>0</v>
      </c>
      <c r="S59" s="5"/>
      <c r="T59" s="5"/>
      <c r="U59" s="5"/>
      <c r="V59" s="13">
        <f>IF(T$12=0,0,T59/T$12)</f>
        <v>0</v>
      </c>
      <c r="W59" s="5"/>
      <c r="X59" s="5">
        <f>+P59-T59</f>
        <v>0</v>
      </c>
      <c r="Y59" s="5"/>
      <c r="Z59" s="13">
        <f>IF(T59=0,0,X59/T59)</f>
        <v>0</v>
      </c>
    </row>
    <row r="60" spans="1:26" ht="15" customHeight="1" x14ac:dyDescent="0.25">
      <c r="A60" s="10"/>
      <c r="B60" s="11"/>
      <c r="C60" s="11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O60" s="11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25">
      <c r="A61" s="11"/>
      <c r="B61" s="28" t="s">
        <v>294</v>
      </c>
      <c r="C61" s="28"/>
      <c r="D61" s="34">
        <f>+D57-D59</f>
        <v>-10014.049999999999</v>
      </c>
      <c r="E61" s="15"/>
      <c r="F61" s="32">
        <f>IF(D$12=0,0,D61/D$12)</f>
        <v>0</v>
      </c>
      <c r="G61" s="15"/>
      <c r="H61" s="34">
        <f>+H57-H59</f>
        <v>-12236.75742769231</v>
      </c>
      <c r="I61" s="15"/>
      <c r="J61" s="32">
        <f>IF(H$12=0,0,H61/H$12)</f>
        <v>0</v>
      </c>
      <c r="K61" s="16"/>
      <c r="L61" s="34">
        <f>D61-H61</f>
        <v>2222.7074276923104</v>
      </c>
      <c r="M61" s="16"/>
      <c r="N61" s="32">
        <f>IF(H61=0,0,L61/H61)</f>
        <v>-0.18164186393547588</v>
      </c>
      <c r="O61" s="27"/>
      <c r="P61" s="34">
        <f>+P57-P59</f>
        <v>-99624.959999999992</v>
      </c>
      <c r="Q61" s="15"/>
      <c r="R61" s="32">
        <f>IF(P$12=0,0,P61/P$12)</f>
        <v>0</v>
      </c>
      <c r="S61" s="15"/>
      <c r="T61" s="34">
        <f>+T57-T59</f>
        <v>-146113.8187323077</v>
      </c>
      <c r="U61" s="15"/>
      <c r="V61" s="32">
        <f>IF(T$12=0,0,T61/T$12)</f>
        <v>0</v>
      </c>
      <c r="W61" s="16"/>
      <c r="X61" s="34">
        <f>P61-T61</f>
        <v>46488.858732307708</v>
      </c>
      <c r="Y61" s="16"/>
      <c r="Z61" s="32">
        <f>IF(T61=0,0,X61/T61)</f>
        <v>-0.31816880248321378</v>
      </c>
    </row>
    <row r="62" spans="1:26" ht="15" customHeight="1" x14ac:dyDescent="0.25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ht="15" customHeight="1" x14ac:dyDescent="0.25">
      <c r="A63" s="10"/>
      <c r="B63" s="10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25">
      <c r="A64" s="11"/>
      <c r="B64" s="28" t="s">
        <v>297</v>
      </c>
      <c r="C64" s="28"/>
      <c r="D64" s="30">
        <f>SUM(D61:D63)</f>
        <v>-10014.049999999999</v>
      </c>
      <c r="E64" s="15"/>
      <c r="F64" s="33">
        <f>IF(D$12=0,0,D64/D$12)</f>
        <v>0</v>
      </c>
      <c r="G64" s="15"/>
      <c r="H64" s="30">
        <f>SUM(H61:H63)</f>
        <v>-12236.75742769231</v>
      </c>
      <c r="I64" s="15"/>
      <c r="J64" s="33">
        <f>IF(H$12=0,0,H64/H$12)</f>
        <v>0</v>
      </c>
      <c r="K64" s="16"/>
      <c r="L64" s="30">
        <f>+D64-H64</f>
        <v>2222.7074276923104</v>
      </c>
      <c r="M64" s="16"/>
      <c r="N64" s="33">
        <f>IF(H64=0,0,L64/H64)</f>
        <v>-0.18164186393547588</v>
      </c>
      <c r="O64" s="27"/>
      <c r="P64" s="30">
        <f>SUM(P61:P63)</f>
        <v>-99624.959999999992</v>
      </c>
      <c r="Q64" s="15"/>
      <c r="R64" s="33">
        <f>IF(P$12=0,0,P64/P$12)</f>
        <v>0</v>
      </c>
      <c r="S64" s="15"/>
      <c r="T64" s="30">
        <f>SUM(T61:T63)</f>
        <v>-146113.8187323077</v>
      </c>
      <c r="U64" s="15"/>
      <c r="V64" s="33">
        <f>IF(T$12=0,0,T64/T$12)</f>
        <v>0</v>
      </c>
      <c r="W64" s="16"/>
      <c r="X64" s="30">
        <f>+P64-T64</f>
        <v>46488.858732307708</v>
      </c>
      <c r="Y64" s="16"/>
      <c r="Z64" s="33">
        <f>IF(T64=0,0,X64/T64)</f>
        <v>-0.31816880248321378</v>
      </c>
    </row>
    <row r="65" spans="1:24" ht="15" customHeight="1" x14ac:dyDescent="0.25">
      <c r="A65" s="10"/>
      <c r="C65" s="10"/>
      <c r="D65" s="18"/>
      <c r="E65" s="18"/>
      <c r="G65" s="18"/>
      <c r="H65" s="18"/>
      <c r="I65" s="18"/>
      <c r="J65" s="40"/>
      <c r="K65" s="18"/>
      <c r="L65" s="18"/>
      <c r="M65" s="18"/>
      <c r="P65" s="18"/>
      <c r="Q65" s="18"/>
      <c r="R65" s="40"/>
      <c r="S65" s="18"/>
      <c r="T65" s="18"/>
      <c r="U65" s="18"/>
      <c r="V65" s="40"/>
      <c r="W65" s="18"/>
      <c r="X65" s="18"/>
    </row>
    <row r="66" spans="1:24" ht="15" customHeight="1" x14ac:dyDescent="0.25">
      <c r="A66" s="10"/>
      <c r="B66" s="54">
        <v>44727.874527581022</v>
      </c>
      <c r="D66" s="18"/>
      <c r="E66" s="18"/>
      <c r="G66" s="18"/>
      <c r="H66" s="18"/>
      <c r="I66" s="18"/>
      <c r="J66" s="40"/>
      <c r="K66" s="18"/>
      <c r="L66" s="18"/>
      <c r="M66" s="18"/>
      <c r="P66" s="18"/>
      <c r="Q66" s="18"/>
      <c r="R66" s="40"/>
      <c r="S66" s="18"/>
      <c r="T66" s="18"/>
      <c r="U66" s="18"/>
      <c r="V66" s="40"/>
      <c r="W66" s="18"/>
      <c r="X66" s="18"/>
    </row>
    <row r="67" spans="1:24" ht="15" customHeight="1" x14ac:dyDescent="0.25">
      <c r="A67" s="10"/>
      <c r="B67" s="50" t="s">
        <v>298</v>
      </c>
      <c r="D67" s="18"/>
      <c r="E67" s="18"/>
      <c r="G67" s="18"/>
      <c r="H67" s="18"/>
      <c r="I67" s="18"/>
      <c r="J67" s="40"/>
      <c r="K67" s="18"/>
      <c r="L67" s="18"/>
      <c r="M67" s="18"/>
      <c r="P67" s="18"/>
      <c r="Q67" s="18"/>
      <c r="R67" s="40"/>
      <c r="S67" s="18"/>
      <c r="T67" s="18"/>
      <c r="U67" s="18"/>
      <c r="V67" s="40"/>
      <c r="W67" s="18"/>
      <c r="X67" s="18"/>
    </row>
    <row r="68" spans="1:24" ht="15" customHeight="1" x14ac:dyDescent="0.25">
      <c r="A68" s="10"/>
      <c r="B68" s="58"/>
      <c r="D68" s="18"/>
      <c r="E68" s="18"/>
      <c r="G68" s="18"/>
      <c r="H68" s="18"/>
      <c r="I68" s="18"/>
      <c r="J68" s="40"/>
      <c r="K68" s="18"/>
      <c r="L68" s="18"/>
      <c r="M68" s="18"/>
      <c r="P68" s="18"/>
      <c r="Q68" s="18"/>
      <c r="R68" s="40"/>
      <c r="S68" s="18"/>
      <c r="T68" s="18"/>
      <c r="U68" s="18"/>
      <c r="V68" s="40"/>
      <c r="W68" s="18"/>
      <c r="X68" s="18"/>
    </row>
    <row r="69" spans="1:24" ht="15" customHeight="1" x14ac:dyDescent="0.25">
      <c r="D69" s="18"/>
      <c r="E69" s="18"/>
      <c r="G69" s="18"/>
      <c r="H69" s="18"/>
      <c r="I69" s="18"/>
      <c r="J69" s="40"/>
      <c r="K69" s="18"/>
      <c r="L69" s="18"/>
      <c r="M69" s="18"/>
      <c r="P69" s="18"/>
      <c r="Q69" s="18"/>
      <c r="R69" s="40"/>
      <c r="S69" s="18"/>
      <c r="T69" s="18"/>
      <c r="U69" s="18"/>
      <c r="V69" s="40"/>
      <c r="W69" s="18"/>
      <c r="X6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AD7EE-A222-C7AA-42D7-C447720DAE44}">
  <sheetPr>
    <tabColor rgb="FFFFC000"/>
    <outlinePr summaryBelow="0" summaryRight="0"/>
  </sheetPr>
  <dimension ref="A2:Z172"/>
  <sheetViews>
    <sheetView showGridLines="0" defaultGridColor="0" colorId="8" zoomScale="80" workbookViewId="0">
      <pane xSplit="3" ySplit="10" topLeftCell="D58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301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944067.46</v>
      </c>
      <c r="E12" s="5"/>
      <c r="F12" s="13"/>
      <c r="G12" s="5"/>
      <c r="H12" s="5">
        <f>SUM(OSRRefH13x_0)</f>
        <v>423189</v>
      </c>
      <c r="I12" s="5"/>
      <c r="J12" s="13"/>
      <c r="K12" s="5"/>
      <c r="L12" s="5">
        <f t="shared" ref="L12:L23" si="0">+D12-H12</f>
        <v>520878.45999999996</v>
      </c>
      <c r="M12" s="5"/>
      <c r="N12" s="13">
        <f t="shared" ref="N12:N23" si="1">IF(H12=0,0,L12/H12)</f>
        <v>1.230841208065427</v>
      </c>
      <c r="O12" s="11"/>
      <c r="P12" s="5">
        <f>SUM(OSRRefP13x_0)</f>
        <v>8017275.8600000013</v>
      </c>
      <c r="Q12" s="5"/>
      <c r="R12" s="13"/>
      <c r="S12" s="5"/>
      <c r="T12" s="5">
        <f>SUM(OSRRefT13x_0)</f>
        <v>9094826</v>
      </c>
      <c r="U12" s="5"/>
      <c r="V12" s="13"/>
      <c r="W12" s="5"/>
      <c r="X12" s="5">
        <f t="shared" ref="X12:X23" si="2">+P12-T12</f>
        <v>-1077550.1399999987</v>
      </c>
      <c r="Y12" s="5"/>
      <c r="Z12" s="13">
        <f t="shared" ref="Z12:Z23" si="3">IF(T12=0,0,X12/T12)</f>
        <v>-0.11847946733670317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--862962.63</f>
        <v>862962.63</v>
      </c>
      <c r="E13" s="3"/>
      <c r="F13" s="20"/>
      <c r="G13" s="3"/>
      <c r="H13" s="3">
        <v>354760</v>
      </c>
      <c r="I13" s="3"/>
      <c r="J13" s="20"/>
      <c r="K13" s="3"/>
      <c r="L13" s="3">
        <f t="shared" si="0"/>
        <v>508202.63</v>
      </c>
      <c r="M13" s="3"/>
      <c r="N13" s="20">
        <f t="shared" si="1"/>
        <v>1.4325251719472318</v>
      </c>
      <c r="O13" s="12"/>
      <c r="P13" s="3">
        <f>--6646203.19</f>
        <v>6646203.1900000004</v>
      </c>
      <c r="Q13" s="3"/>
      <c r="R13" s="20"/>
      <c r="S13" s="3"/>
      <c r="T13" s="3">
        <v>8315558</v>
      </c>
      <c r="U13" s="3"/>
      <c r="V13" s="20"/>
      <c r="W13" s="3"/>
      <c r="X13" s="3">
        <f t="shared" si="2"/>
        <v>-1669354.8099999996</v>
      </c>
      <c r="Y13" s="3"/>
      <c r="Z13" s="20">
        <f t="shared" si="3"/>
        <v>-0.20075078665797289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--275.74</f>
        <v>275.74</v>
      </c>
      <c r="E15" s="3"/>
      <c r="F15" s="20"/>
      <c r="G15" s="3"/>
      <c r="H15" s="3"/>
      <c r="I15" s="3"/>
      <c r="J15" s="20"/>
      <c r="K15" s="3"/>
      <c r="L15" s="3">
        <f t="shared" si="0"/>
        <v>275.74</v>
      </c>
      <c r="M15" s="3"/>
      <c r="N15" s="20">
        <f t="shared" si="1"/>
        <v>0</v>
      </c>
      <c r="O15" s="12"/>
      <c r="P15" s="3">
        <f>--1827.05</f>
        <v>1827.05</v>
      </c>
      <c r="Q15" s="3"/>
      <c r="R15" s="20"/>
      <c r="S15" s="3"/>
      <c r="T15" s="3"/>
      <c r="U15" s="3"/>
      <c r="V15" s="20"/>
      <c r="W15" s="3"/>
      <c r="X15" s="3">
        <f t="shared" si="2"/>
        <v>1827.05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--147224.85</f>
        <v>147224.85</v>
      </c>
      <c r="E16" s="3"/>
      <c r="F16" s="20"/>
      <c r="G16" s="3"/>
      <c r="H16" s="3">
        <v>68429</v>
      </c>
      <c r="I16" s="3"/>
      <c r="J16" s="20"/>
      <c r="K16" s="3"/>
      <c r="L16" s="3">
        <f t="shared" si="0"/>
        <v>78795.850000000006</v>
      </c>
      <c r="M16" s="3"/>
      <c r="N16" s="20">
        <f t="shared" si="1"/>
        <v>1.1514979029358898</v>
      </c>
      <c r="O16" s="12"/>
      <c r="P16" s="3">
        <f>--1754791.31</f>
        <v>1754791.31</v>
      </c>
      <c r="Q16" s="3"/>
      <c r="R16" s="20"/>
      <c r="S16" s="3"/>
      <c r="T16" s="3">
        <v>779268</v>
      </c>
      <c r="U16" s="3"/>
      <c r="V16" s="20"/>
      <c r="W16" s="3"/>
      <c r="X16" s="3">
        <f t="shared" si="2"/>
        <v>975523.31</v>
      </c>
      <c r="Y16" s="3"/>
      <c r="Z16" s="20">
        <f t="shared" si="3"/>
        <v>1.2518457193160761</v>
      </c>
    </row>
    <row r="17" spans="1:26" s="70" customFormat="1" ht="15" hidden="1" customHeight="1" outlineLevel="1" x14ac:dyDescent="0.25">
      <c r="A17" s="42"/>
      <c r="B17" s="12" t="str">
        <f>CONCATENATE("          ","4141"," - ","NON-TAXABLE SALES-LOGO GIFTS")</f>
        <v xml:space="preserve">          4141 - NON-TAXABLE SALES-LOGO GIFTS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/>
      <c r="U17" s="3"/>
      <c r="V17" s="20"/>
      <c r="W17" s="3"/>
      <c r="X17" s="3">
        <f t="shared" si="2"/>
        <v>0</v>
      </c>
      <c r="Y17" s="3"/>
      <c r="Z17" s="20">
        <f t="shared" si="3"/>
        <v>0</v>
      </c>
    </row>
    <row r="18" spans="1:26" s="70" customFormat="1" ht="15" hidden="1" customHeight="1" outlineLevel="1" x14ac:dyDescent="0.25">
      <c r="A18" s="42"/>
      <c r="B18" s="12" t="str">
        <f>CONCATENATE("          ","4146"," - ","NON-TAXABLE SALES-COIN OP MACH")</f>
        <v xml:space="preserve">          4146 - NON-TAXABLE SALES-COIN OP MACH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25">
      <c r="A19" s="42"/>
      <c r="B19" s="12" t="str">
        <f>CONCATENATE("          ","4151"," - ","NON-TAXABLE SALES-FOOD")</f>
        <v xml:space="preserve">          4151 - NON-TAXABLE SALES-FOOD</v>
      </c>
      <c r="C19" s="12"/>
      <c r="D19" s="3">
        <f>0</f>
        <v>0</v>
      </c>
      <c r="E19" s="3"/>
      <c r="F19" s="20"/>
      <c r="G19" s="3"/>
      <c r="H19" s="3"/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--206.32</f>
        <v>206.32</v>
      </c>
      <c r="Q19" s="3"/>
      <c r="R19" s="20"/>
      <c r="S19" s="3"/>
      <c r="T19" s="3"/>
      <c r="U19" s="3"/>
      <c r="V19" s="20"/>
      <c r="W19" s="3"/>
      <c r="X19" s="3">
        <f t="shared" si="2"/>
        <v>206.32</v>
      </c>
      <c r="Y19" s="3"/>
      <c r="Z19" s="20">
        <f t="shared" si="3"/>
        <v>0</v>
      </c>
    </row>
    <row r="20" spans="1:26" s="70" customFormat="1" ht="15" hidden="1" customHeight="1" outlineLevel="1" x14ac:dyDescent="0.25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0</f>
        <v>0</v>
      </c>
      <c r="E20" s="3"/>
      <c r="F20" s="20"/>
      <c r="G20" s="3"/>
      <c r="H20" s="3"/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/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70" customFormat="1" ht="15" hidden="1" customHeight="1" outlineLevel="1" x14ac:dyDescent="0.25">
      <c r="A21" s="42"/>
      <c r="B21" s="12" t="str">
        <f>CONCATENATE("          ","4200"," - ","TAXABLE RETURNS")</f>
        <v xml:space="preserve">          4200 - TAXABLE RETURNS</v>
      </c>
      <c r="C21" s="12"/>
      <c r="D21" s="3">
        <f>-44533.18</f>
        <v>-44533.18</v>
      </c>
      <c r="E21" s="3"/>
      <c r="F21" s="20"/>
      <c r="G21" s="3"/>
      <c r="H21" s="3"/>
      <c r="I21" s="3"/>
      <c r="J21" s="20"/>
      <c r="K21" s="3"/>
      <c r="L21" s="3">
        <f t="shared" si="0"/>
        <v>-44533.18</v>
      </c>
      <c r="M21" s="3"/>
      <c r="N21" s="20">
        <f t="shared" si="1"/>
        <v>0</v>
      </c>
      <c r="O21" s="12"/>
      <c r="P21" s="3">
        <f>-216083.84</f>
        <v>-216083.84</v>
      </c>
      <c r="Q21" s="3"/>
      <c r="R21" s="20"/>
      <c r="S21" s="3"/>
      <c r="T21" s="3"/>
      <c r="U21" s="3"/>
      <c r="V21" s="20"/>
      <c r="W21" s="3"/>
      <c r="X21" s="3">
        <f t="shared" si="2"/>
        <v>-216083.84</v>
      </c>
      <c r="Y21" s="3"/>
      <c r="Z21" s="20">
        <f t="shared" si="3"/>
        <v>0</v>
      </c>
    </row>
    <row r="22" spans="1:26" s="70" customFormat="1" ht="15" hidden="1" customHeight="1" outlineLevel="1" x14ac:dyDescent="0.25">
      <c r="A22" s="42"/>
      <c r="B22" s="12" t="str">
        <f>CONCATENATE("          ","4300"," - ","NON-TAX RETURNS")</f>
        <v xml:space="preserve">          4300 - NON-TAX RETURNS</v>
      </c>
      <c r="C22" s="12"/>
      <c r="D22" s="3">
        <f>-554.21</f>
        <v>-554.21</v>
      </c>
      <c r="E22" s="3"/>
      <c r="F22" s="20"/>
      <c r="G22" s="3"/>
      <c r="H22" s="3"/>
      <c r="I22" s="3"/>
      <c r="J22" s="20"/>
      <c r="K22" s="3"/>
      <c r="L22" s="3">
        <f t="shared" si="0"/>
        <v>-554.21</v>
      </c>
      <c r="M22" s="3"/>
      <c r="N22" s="20">
        <f t="shared" si="1"/>
        <v>0</v>
      </c>
      <c r="O22" s="12"/>
      <c r="P22" s="3">
        <f>-41771.06</f>
        <v>-41771.06</v>
      </c>
      <c r="Q22" s="3"/>
      <c r="R22" s="20"/>
      <c r="S22" s="3"/>
      <c r="T22" s="3"/>
      <c r="U22" s="3"/>
      <c r="V22" s="20"/>
      <c r="W22" s="3"/>
      <c r="X22" s="3">
        <f t="shared" si="2"/>
        <v>-41771.06</v>
      </c>
      <c r="Y22" s="3"/>
      <c r="Z22" s="20">
        <f t="shared" si="3"/>
        <v>0</v>
      </c>
    </row>
    <row r="23" spans="1:26" s="70" customFormat="1" ht="15" hidden="1" customHeight="1" outlineLevel="1" x14ac:dyDescent="0.25">
      <c r="A23" s="42"/>
      <c r="B23" s="12" t="str">
        <f>CONCATENATE("          ","4500"," - ","SALES DISCOUNT")</f>
        <v xml:space="preserve">          4500 - SALES DISCOUNT</v>
      </c>
      <c r="C23" s="12"/>
      <c r="D23" s="3">
        <f>-21308.37</f>
        <v>-21308.37</v>
      </c>
      <c r="E23" s="3"/>
      <c r="F23" s="20"/>
      <c r="G23" s="3"/>
      <c r="H23" s="3"/>
      <c r="I23" s="3"/>
      <c r="J23" s="20"/>
      <c r="K23" s="3"/>
      <c r="L23" s="3">
        <f t="shared" si="0"/>
        <v>-21308.37</v>
      </c>
      <c r="M23" s="3"/>
      <c r="N23" s="20">
        <f t="shared" si="1"/>
        <v>0</v>
      </c>
      <c r="O23" s="12"/>
      <c r="P23" s="3">
        <f>-127922.28</f>
        <v>-127922.28</v>
      </c>
      <c r="Q23" s="3"/>
      <c r="R23" s="20"/>
      <c r="S23" s="3"/>
      <c r="T23" s="3"/>
      <c r="U23" s="3"/>
      <c r="V23" s="20"/>
      <c r="W23" s="3"/>
      <c r="X23" s="3">
        <f t="shared" si="2"/>
        <v>-127922.28</v>
      </c>
      <c r="Y23" s="3"/>
      <c r="Z23" s="20">
        <f t="shared" si="3"/>
        <v>0</v>
      </c>
    </row>
    <row r="24" spans="1:26" ht="15" customHeight="1" x14ac:dyDescent="0.25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collapsed="1" x14ac:dyDescent="0.25">
      <c r="A25" s="11"/>
      <c r="B25" s="27" t="s">
        <v>288</v>
      </c>
      <c r="C25" s="11"/>
      <c r="D25" s="5">
        <f>SUM(OSRRefD16x_0)</f>
        <v>412410.87999999995</v>
      </c>
      <c r="E25" s="5"/>
      <c r="F25" s="13">
        <f t="shared" ref="F25:F54" si="4">IF(D$12=0,0,D25/D$12)</f>
        <v>0.43684471446563783</v>
      </c>
      <c r="G25" s="5"/>
      <c r="H25" s="5">
        <f>SUM(OSRRefH16x_0)</f>
        <v>199811</v>
      </c>
      <c r="I25" s="5"/>
      <c r="J25" s="13">
        <f t="shared" ref="J25:J54" si="5">IF(H$12=0,0,H25/H$12)</f>
        <v>0.47215546717896734</v>
      </c>
      <c r="K25" s="5"/>
      <c r="L25" s="5">
        <f t="shared" ref="L25:L54" si="6">+D25-H25</f>
        <v>212599.87999999995</v>
      </c>
      <c r="M25" s="5"/>
      <c r="N25" s="13">
        <f t="shared" ref="N25:N54" si="7">IF(H25=0,0,L25/H25)</f>
        <v>1.0640048846159618</v>
      </c>
      <c r="O25" s="11"/>
      <c r="P25" s="5">
        <f>SUM(OSRRefP16x_0)</f>
        <v>4299655.67</v>
      </c>
      <c r="Q25" s="5"/>
      <c r="R25" s="13">
        <f t="shared" ref="R25:R54" si="8">IF(P$12=0,0,P25/P$12)</f>
        <v>0.536298830810095</v>
      </c>
      <c r="S25" s="5"/>
      <c r="T25" s="5">
        <f>SUM(OSRRefT16x_0)</f>
        <v>5447715</v>
      </c>
      <c r="U25" s="5"/>
      <c r="V25" s="13">
        <f t="shared" ref="V25:V54" si="9">IF(T$12=0,0,T25/T$12)</f>
        <v>0.59899056892347369</v>
      </c>
      <c r="W25" s="5"/>
      <c r="X25" s="5">
        <f t="shared" ref="X25:X54" si="10">+P25-T25</f>
        <v>-1148059.33</v>
      </c>
      <c r="Y25" s="5"/>
      <c r="Z25" s="13">
        <f t="shared" ref="Z25:Z54" si="11">IF(T25=0,0,X25/T25)</f>
        <v>-0.21074144480759366</v>
      </c>
    </row>
    <row r="26" spans="1:26" s="70" customFormat="1" ht="15" hidden="1" customHeight="1" outlineLevel="1" x14ac:dyDescent="0.25">
      <c r="A26" s="42"/>
      <c r="B26" s="12" t="str">
        <f>CONCATENATE("          ","5000"," - ","PURCHASES @ COST")</f>
        <v xml:space="preserve">          5000 - PURCHASES @ COST</v>
      </c>
      <c r="C26" s="12"/>
      <c r="D26" s="3">
        <v>354165.25</v>
      </c>
      <c r="E26" s="3"/>
      <c r="F26" s="20">
        <f t="shared" si="4"/>
        <v>0.37514824417314419</v>
      </c>
      <c r="G26" s="3"/>
      <c r="H26" s="3">
        <v>199811</v>
      </c>
      <c r="I26" s="3"/>
      <c r="J26" s="20">
        <f t="shared" si="5"/>
        <v>0.47215546717896734</v>
      </c>
      <c r="K26" s="3"/>
      <c r="L26" s="3">
        <f t="shared" si="6"/>
        <v>154354.25</v>
      </c>
      <c r="M26" s="3"/>
      <c r="N26" s="20">
        <f t="shared" si="7"/>
        <v>0.77250126369419103</v>
      </c>
      <c r="O26" s="12"/>
      <c r="P26" s="3">
        <v>4030151.32</v>
      </c>
      <c r="Q26" s="3"/>
      <c r="R26" s="20">
        <f t="shared" si="8"/>
        <v>0.50268337903992233</v>
      </c>
      <c r="S26" s="3"/>
      <c r="T26" s="3">
        <v>5447715</v>
      </c>
      <c r="U26" s="3"/>
      <c r="V26" s="20">
        <f t="shared" si="9"/>
        <v>0.59899056892347369</v>
      </c>
      <c r="W26" s="3"/>
      <c r="X26" s="3">
        <f t="shared" si="10"/>
        <v>-1417563.6800000002</v>
      </c>
      <c r="Y26" s="3"/>
      <c r="Z26" s="20">
        <f t="shared" si="11"/>
        <v>-0.26021252580210236</v>
      </c>
    </row>
    <row r="27" spans="1:26" s="70" customFormat="1" ht="15" hidden="1" customHeight="1" outlineLevel="1" x14ac:dyDescent="0.25">
      <c r="A27" s="42"/>
      <c r="B27" s="12" t="str">
        <f>CONCATENATE("          ","5001"," - ","PURCHASES @ COST-NEW TEXT")</f>
        <v xml:space="preserve">          5001 - PURCHASES @ COST-NEW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","5002"," - ","PURCHASES @ COST-USED TEXT")</f>
        <v xml:space="preserve">          5002 - PURCHASES @ COST-USED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","5004"," - ","PURCHASES @ COST-DIGITAL TEXT")</f>
        <v xml:space="preserve">          5004 - PURCHASES @ COST-DIGITAL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","5026"," - ","PURCHASES @ COST-WRITING INSTR")</f>
        <v xml:space="preserve">          5026 - PURCHASES @ COST-WRITING INSTR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","5027"," - ","PURCHASES @ COST-SCHOOL SUPPLI")</f>
        <v xml:space="preserve">          5027 - PURCHASES @ COST-SCHOOL SUPPLI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","5028"," - ","PURCHASES @ COST-ART/TECH")</f>
        <v xml:space="preserve">          5028 - PURCHASES @ COST-ART/TECH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","5031"," - ","PURCHASES @ COST-FOOD")</f>
        <v xml:space="preserve">          5031 - PURCHASES @ COST-FOOD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","5040"," - ","PURCHASES @ COST-LOGO CLOTHING")</f>
        <v xml:space="preserve">          5040 - PURCHASES @ COST-LOGO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","5041"," - ","PURCHASES @ COST-LOGO GIFTS")</f>
        <v xml:space="preserve">          5041 - PURCHASES @ COST-LOGO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","5042"," - ","PURCHASES @ COST-EVERYDAY GIFT")</f>
        <v xml:space="preserve">          5042 - PURCHASES @ COST-EVERYDAY GIFT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","5043"," - ","PURCHASES @ COST-CARDS")</f>
        <v xml:space="preserve">          5043 - PURCHASES @ COST-CARDS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","5044"," - ","PURCHASES @ COST-ACCESSORIES")</f>
        <v xml:space="preserve">          5044 - PURCHASES @ COST-ACCESSORIES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25">
      <c r="A39" s="42"/>
      <c r="B39" s="12" t="str">
        <f>CONCATENATE("          ","5045"," - ","PURCHASES @ COST-SPECIAL ORDER")</f>
        <v xml:space="preserve">          5045 - PURCHASES @ COST-SPECIAL ORDER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25">
      <c r="A40" s="42"/>
      <c r="B40" s="12" t="str">
        <f>CONCATENATE("          ","5053"," - ","PURCHASES @ COST-FOOD")</f>
        <v xml:space="preserve">          5053 - PURCHASES @ COST-FOOD</v>
      </c>
      <c r="C40" s="12"/>
      <c r="D40" s="3">
        <v>18738.490000000002</v>
      </c>
      <c r="E40" s="3"/>
      <c r="F40" s="20">
        <f t="shared" si="4"/>
        <v>1.9848676915524662E-2</v>
      </c>
      <c r="G40" s="3"/>
      <c r="H40" s="3"/>
      <c r="I40" s="3"/>
      <c r="J40" s="20">
        <f t="shared" si="5"/>
        <v>0</v>
      </c>
      <c r="K40" s="3"/>
      <c r="L40" s="3">
        <f t="shared" si="6"/>
        <v>18738.490000000002</v>
      </c>
      <c r="M40" s="3"/>
      <c r="N40" s="20">
        <f t="shared" si="7"/>
        <v>0</v>
      </c>
      <c r="O40" s="12"/>
      <c r="P40" s="3">
        <v>47142.63</v>
      </c>
      <c r="Q40" s="3"/>
      <c r="R40" s="20">
        <f t="shared" si="8"/>
        <v>5.880130710632675E-3</v>
      </c>
      <c r="S40" s="3"/>
      <c r="T40" s="3"/>
      <c r="U40" s="3"/>
      <c r="V40" s="20">
        <f t="shared" si="9"/>
        <v>0</v>
      </c>
      <c r="W40" s="3"/>
      <c r="X40" s="3">
        <f t="shared" si="10"/>
        <v>47142.63</v>
      </c>
      <c r="Y40" s="3"/>
      <c r="Z40" s="20">
        <f t="shared" si="11"/>
        <v>0</v>
      </c>
    </row>
    <row r="41" spans="1:26" s="70" customFormat="1" ht="15" hidden="1" customHeight="1" outlineLevel="1" x14ac:dyDescent="0.25">
      <c r="A41" s="42"/>
      <c r="B41" s="12" t="str">
        <f>CONCATENATE("          ","5059"," - ","PURCHASES @ COST-FOOD")</f>
        <v xml:space="preserve">          5059 - PURCHASES @ COST-FOOD</v>
      </c>
      <c r="C41" s="12"/>
      <c r="D41" s="3">
        <v>19353.509999999998</v>
      </c>
      <c r="E41" s="3"/>
      <c r="F41" s="20">
        <f t="shared" si="4"/>
        <v>2.0500134598432192E-2</v>
      </c>
      <c r="G41" s="3"/>
      <c r="H41" s="3"/>
      <c r="I41" s="3"/>
      <c r="J41" s="20">
        <f t="shared" si="5"/>
        <v>0</v>
      </c>
      <c r="K41" s="3"/>
      <c r="L41" s="3">
        <f t="shared" si="6"/>
        <v>19353.509999999998</v>
      </c>
      <c r="M41" s="3"/>
      <c r="N41" s="20">
        <f t="shared" si="7"/>
        <v>0</v>
      </c>
      <c r="O41" s="12"/>
      <c r="P41" s="3">
        <v>186936.32000000001</v>
      </c>
      <c r="Q41" s="3"/>
      <c r="R41" s="20">
        <f t="shared" si="8"/>
        <v>2.331668802026228E-2</v>
      </c>
      <c r="S41" s="3"/>
      <c r="T41" s="3"/>
      <c r="U41" s="3"/>
      <c r="V41" s="20">
        <f t="shared" si="9"/>
        <v>0</v>
      </c>
      <c r="W41" s="3"/>
      <c r="X41" s="3">
        <f t="shared" si="10"/>
        <v>186936.32000000001</v>
      </c>
      <c r="Y41" s="3"/>
      <c r="Z41" s="20">
        <f t="shared" si="11"/>
        <v>0</v>
      </c>
    </row>
    <row r="42" spans="1:26" s="70" customFormat="1" ht="15" hidden="1" customHeight="1" outlineLevel="1" x14ac:dyDescent="0.25">
      <c r="A42" s="42"/>
      <c r="B42" s="12" t="str">
        <f>CONCATENATE("          ","5200"," - ","PURCHASES OFFSET")</f>
        <v xml:space="preserve">          5200 - PURCHASES OFFSET</v>
      </c>
      <c r="C42" s="12"/>
      <c r="D42" s="3">
        <v>-363471.96</v>
      </c>
      <c r="E42" s="3"/>
      <c r="F42" s="20">
        <f t="shared" si="4"/>
        <v>-0.38500634266114842</v>
      </c>
      <c r="G42" s="3"/>
      <c r="H42" s="3"/>
      <c r="I42" s="3"/>
      <c r="J42" s="20">
        <f t="shared" si="5"/>
        <v>0</v>
      </c>
      <c r="K42" s="3"/>
      <c r="L42" s="3">
        <f t="shared" si="6"/>
        <v>-363471.96</v>
      </c>
      <c r="M42" s="3"/>
      <c r="N42" s="20">
        <f t="shared" si="7"/>
        <v>0</v>
      </c>
      <c r="O42" s="12"/>
      <c r="P42" s="3">
        <v>-3931496.4</v>
      </c>
      <c r="Q42" s="3"/>
      <c r="R42" s="20">
        <f t="shared" si="8"/>
        <v>-0.49037808710251857</v>
      </c>
      <c r="S42" s="3"/>
      <c r="T42" s="3"/>
      <c r="U42" s="3"/>
      <c r="V42" s="20">
        <f t="shared" si="9"/>
        <v>0</v>
      </c>
      <c r="W42" s="3"/>
      <c r="X42" s="3">
        <f t="shared" si="10"/>
        <v>-3931496.4</v>
      </c>
      <c r="Y42" s="3"/>
      <c r="Z42" s="20">
        <f t="shared" si="11"/>
        <v>0</v>
      </c>
    </row>
    <row r="43" spans="1:26" s="70" customFormat="1" ht="15" hidden="1" customHeight="1" outlineLevel="1" x14ac:dyDescent="0.25">
      <c r="A43" s="42"/>
      <c r="B43" s="12" t="str">
        <f>CONCATENATE("          ","5300"," - ","COG$ OFFSET")</f>
        <v xml:space="preserve">          5300 - COG$ OFFSET</v>
      </c>
      <c r="C43" s="12"/>
      <c r="D43" s="3">
        <v>371724.62</v>
      </c>
      <c r="E43" s="3"/>
      <c r="F43" s="20">
        <f t="shared" si="4"/>
        <v>0.39374794254639389</v>
      </c>
      <c r="G43" s="3"/>
      <c r="H43" s="3"/>
      <c r="I43" s="3"/>
      <c r="J43" s="20">
        <f t="shared" si="5"/>
        <v>0</v>
      </c>
      <c r="K43" s="3"/>
      <c r="L43" s="3">
        <f t="shared" si="6"/>
        <v>371724.62</v>
      </c>
      <c r="M43" s="3"/>
      <c r="N43" s="20">
        <f t="shared" si="7"/>
        <v>0</v>
      </c>
      <c r="O43" s="12"/>
      <c r="P43" s="3">
        <v>3771746.64</v>
      </c>
      <c r="Q43" s="3"/>
      <c r="R43" s="20">
        <f t="shared" si="8"/>
        <v>0.47045239628314345</v>
      </c>
      <c r="S43" s="3"/>
      <c r="T43" s="3"/>
      <c r="U43" s="3"/>
      <c r="V43" s="20">
        <f t="shared" si="9"/>
        <v>0</v>
      </c>
      <c r="W43" s="3"/>
      <c r="X43" s="3">
        <f t="shared" si="10"/>
        <v>3771746.64</v>
      </c>
      <c r="Y43" s="3"/>
      <c r="Z43" s="20">
        <f t="shared" si="11"/>
        <v>0</v>
      </c>
    </row>
    <row r="44" spans="1:26" s="70" customFormat="1" ht="15" hidden="1" customHeight="1" outlineLevel="1" x14ac:dyDescent="0.25">
      <c r="A44" s="42"/>
      <c r="B44" s="12" t="str">
        <f>CONCATENATE("          ","5500"," - ","FREIGHT-IN")</f>
        <v xml:space="preserve">          5500 - FREIGHT-IN</v>
      </c>
      <c r="C44" s="12"/>
      <c r="D44" s="3">
        <v>11900.97</v>
      </c>
      <c r="E44" s="3"/>
      <c r="F44" s="20">
        <f t="shared" si="4"/>
        <v>1.2606058893291375E-2</v>
      </c>
      <c r="G44" s="3"/>
      <c r="H44" s="3"/>
      <c r="I44" s="3"/>
      <c r="J44" s="20">
        <f t="shared" si="5"/>
        <v>0</v>
      </c>
      <c r="K44" s="3"/>
      <c r="L44" s="3">
        <f t="shared" si="6"/>
        <v>11900.97</v>
      </c>
      <c r="M44" s="3"/>
      <c r="N44" s="20">
        <f t="shared" si="7"/>
        <v>0</v>
      </c>
      <c r="O44" s="12"/>
      <c r="P44" s="3">
        <v>195175.16</v>
      </c>
      <c r="Q44" s="3"/>
      <c r="R44" s="20">
        <f t="shared" si="8"/>
        <v>2.4344323858652903E-2</v>
      </c>
      <c r="S44" s="3"/>
      <c r="T44" s="3"/>
      <c r="U44" s="3"/>
      <c r="V44" s="20">
        <f t="shared" si="9"/>
        <v>0</v>
      </c>
      <c r="W44" s="3"/>
      <c r="X44" s="3">
        <f t="shared" si="10"/>
        <v>195175.16</v>
      </c>
      <c r="Y44" s="3"/>
      <c r="Z44" s="20">
        <f t="shared" si="11"/>
        <v>0</v>
      </c>
    </row>
    <row r="45" spans="1:26" s="70" customFormat="1" ht="15" hidden="1" customHeight="1" outlineLevel="1" x14ac:dyDescent="0.25">
      <c r="A45" s="42"/>
      <c r="B45" s="12" t="str">
        <f>CONCATENATE("          ","5501"," - ","FREIGHT-IN-NEW TEXT")</f>
        <v xml:space="preserve">          5501 - FREIGHT-IN-NEW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25">
      <c r="A46" s="42"/>
      <c r="B46" s="12" t="str">
        <f>CONCATENATE("          ","5502"," - ","FREIGHT-IN-USED TEXT")</f>
        <v xml:space="preserve">          5502 - FREIGHT-IN-USED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25">
      <c r="A47" s="42"/>
      <c r="B47" s="12" t="str">
        <f>CONCATENATE("          ","5518"," - ","FREIGHT-IN-STUDY GUIDES")</f>
        <v xml:space="preserve">          5518 - FREIGHT-IN-STUDY GUIDES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25">
      <c r="A48" s="42"/>
      <c r="B48" s="12" t="str">
        <f>CONCATENATE("          ","5527"," - ","FREIGHT-IN-SCHOOL SUPPLIES")</f>
        <v xml:space="preserve">          5527 - FREIGHT-IN-SCHOOL SUPPLIES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25">
      <c r="A49" s="42"/>
      <c r="B49" s="12" t="str">
        <f>CONCATENATE("          ","5528"," - ","FREIGHT-IN-ART/TECH")</f>
        <v xml:space="preserve">          5528 - FREIGHT-IN-ART/TECH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25">
      <c r="A50" s="42"/>
      <c r="B50" s="12" t="str">
        <f>CONCATENATE("          ","5540"," - ","FREIGHT-IN-LOGO CLOTHING")</f>
        <v xml:space="preserve">          5540 - FREIGHT-IN-LOGO CLOTHING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25">
      <c r="A51" s="42"/>
      <c r="B51" s="12" t="str">
        <f>CONCATENATE("          ","5541"," - ","FREIGHT-IN-LOGO GIFTS")</f>
        <v xml:space="preserve">          5541 - FREIGHT-IN-LOGO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25">
      <c r="A52" s="42"/>
      <c r="B52" s="12" t="str">
        <f>CONCATENATE("          ","5542"," - ","FREIGHT-IN-EVERYDAY GIFTS")</f>
        <v xml:space="preserve">          5542 - FREIGHT-IN-EVERYDAY GIFTS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25">
      <c r="A53" s="42"/>
      <c r="B53" s="12" t="str">
        <f>CONCATENATE("          ","5544"," - ","FREIGHT-IN-ACCESSORIES")</f>
        <v xml:space="preserve">          5544 - FREIGHT-IN-ACCESSORIES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25">
      <c r="A54" s="42"/>
      <c r="B54" s="12" t="str">
        <f>CONCATENATE("          ","5545"," - ","FREIGHT-IN-SPECIAL ORDERS")</f>
        <v xml:space="preserve">          5545 - FREIGHT-IN-SPECIAL ORDERS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25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25">
      <c r="A56" s="11"/>
      <c r="B56" s="28" t="s">
        <v>289</v>
      </c>
      <c r="C56" s="28"/>
      <c r="D56" s="22">
        <f>D12-D25</f>
        <v>531656.58000000007</v>
      </c>
      <c r="E56" s="15"/>
      <c r="F56" s="21">
        <f>IF(D$12=0,0,D56/D$12)</f>
        <v>0.56315528553436223</v>
      </c>
      <c r="G56" s="15"/>
      <c r="H56" s="22">
        <f>H12-H25</f>
        <v>223378</v>
      </c>
      <c r="I56" s="15"/>
      <c r="J56" s="21">
        <f>IF(H$12=0,0,H56/H$12)</f>
        <v>0.52784453282103272</v>
      </c>
      <c r="K56" s="16"/>
      <c r="L56" s="22">
        <f>+D56-H56</f>
        <v>308278.58000000007</v>
      </c>
      <c r="M56" s="16"/>
      <c r="N56" s="21">
        <f>IF(H56=0,0,L56/H56)</f>
        <v>1.3800758355791531</v>
      </c>
      <c r="O56" s="27"/>
      <c r="P56" s="22">
        <f>P12-P25</f>
        <v>3717620.1900000013</v>
      </c>
      <c r="Q56" s="15"/>
      <c r="R56" s="21">
        <f>IF(P$12=0,0,P56/P$12)</f>
        <v>0.46370116918990495</v>
      </c>
      <c r="S56" s="15"/>
      <c r="T56" s="22">
        <f>T12-T25</f>
        <v>3647111</v>
      </c>
      <c r="U56" s="15"/>
      <c r="V56" s="21">
        <f>IF(T$12=0,0,T56/T$12)</f>
        <v>0.40100943107652637</v>
      </c>
      <c r="W56" s="16"/>
      <c r="X56" s="22">
        <f>+P56-T56</f>
        <v>70509.190000001341</v>
      </c>
      <c r="Y56" s="16"/>
      <c r="Z56" s="21">
        <f>IF(T56=0,0,X56/T56)</f>
        <v>1.9332888414967723E-2</v>
      </c>
    </row>
    <row r="57" spans="1:26" ht="15" customHeight="1" x14ac:dyDescent="0.25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25">
      <c r="A58" s="11"/>
      <c r="B58" s="27" t="s">
        <v>290</v>
      </c>
      <c r="C58" s="11"/>
      <c r="D58" s="23" cm="1">
        <f t="array" ref="D58">SUM(OSRRefD22x_0)</f>
        <v>367567.28000000014</v>
      </c>
      <c r="E58" s="23"/>
      <c r="F58" s="31">
        <f t="shared" ref="F58:F89" si="12">IF(D$12=0,0,D58/D$12)</f>
        <v>0.38934429537482435</v>
      </c>
      <c r="G58" s="23"/>
      <c r="H58" s="23" cm="1">
        <f t="array" ref="H58">SUM(OSRRefH22x_0)</f>
        <v>317370.49562256283</v>
      </c>
      <c r="I58" s="23"/>
      <c r="J58" s="31">
        <f t="shared" ref="J58:J89" si="13">IF(H$12=0,0,H58/H$12)</f>
        <v>0.74994977568548049</v>
      </c>
      <c r="K58" s="5"/>
      <c r="L58" s="23">
        <f t="shared" ref="L58:L89" si="14">+D58-H58</f>
        <v>50196.784377437318</v>
      </c>
      <c r="M58" s="5"/>
      <c r="N58" s="31">
        <f t="shared" ref="N58:N89" si="15">IF(H58=0,0,L58/H58)</f>
        <v>0.15816462169544118</v>
      </c>
      <c r="O58" s="11"/>
      <c r="P58" s="23" cm="1">
        <f t="array" ref="P58">SUM(OSRRefP22x_0)</f>
        <v>3908683.4499999997</v>
      </c>
      <c r="Q58" s="23"/>
      <c r="R58" s="31">
        <f t="shared" ref="R58:R89" si="16">IF(P$12=0,0,P58/P$12)</f>
        <v>0.4875326131038229</v>
      </c>
      <c r="S58" s="23"/>
      <c r="T58" s="23" cm="1">
        <f t="array" ref="T58">SUM(OSRRefT22x_0)</f>
        <v>4080046.3760708459</v>
      </c>
      <c r="U58" s="23"/>
      <c r="V58" s="31">
        <f t="shared" ref="V58:V89" si="17">IF(T$12=0,0,T58/T$12)</f>
        <v>0.44861181248226695</v>
      </c>
      <c r="W58" s="5"/>
      <c r="X58" s="23">
        <f t="shared" ref="X58:X89" si="18">+P58-T58</f>
        <v>-171362.92607084615</v>
      </c>
      <c r="Y58" s="5"/>
      <c r="Z58" s="31">
        <f t="shared" ref="Z58:Z89" si="19">IF(T58=0,0,X58/T58)</f>
        <v>-4.2000239770772302E-2</v>
      </c>
    </row>
    <row r="59" spans="1:26" s="69" customFormat="1" ht="15" customHeight="1" outlineLevel="1" collapsed="1" x14ac:dyDescent="0.25">
      <c r="A59" s="26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51055.100000000006</v>
      </c>
      <c r="E59" s="2"/>
      <c r="F59" s="6">
        <f t="shared" si="12"/>
        <v>5.4079927720419481E-2</v>
      </c>
      <c r="G59" s="2"/>
      <c r="H59" s="2">
        <f>SUM(OSRRefH22_0x_0)</f>
        <v>47509.395483078246</v>
      </c>
      <c r="I59" s="2"/>
      <c r="J59" s="6">
        <f t="shared" si="13"/>
        <v>0.11226519470751424</v>
      </c>
      <c r="K59" s="2"/>
      <c r="L59" s="2">
        <f t="shared" si="14"/>
        <v>3545.7045169217599</v>
      </c>
      <c r="M59" s="2"/>
      <c r="N59" s="6">
        <f t="shared" si="15"/>
        <v>7.4631648769024186E-2</v>
      </c>
      <c r="O59" s="14"/>
      <c r="P59" s="2">
        <f>SUM(OSRRefP22_0x_0)</f>
        <v>554659.75</v>
      </c>
      <c r="Q59" s="2"/>
      <c r="R59" s="6">
        <f t="shared" si="16"/>
        <v>6.9183069122932719E-2</v>
      </c>
      <c r="S59" s="2"/>
      <c r="T59" s="2">
        <f>SUM(OSRRefT22_0x_0)</f>
        <v>576488.08173356939</v>
      </c>
      <c r="U59" s="2"/>
      <c r="V59" s="6">
        <f t="shared" si="17"/>
        <v>6.3386378335722901E-2</v>
      </c>
      <c r="W59" s="2"/>
      <c r="X59" s="2">
        <f t="shared" si="18"/>
        <v>-21828.331733569386</v>
      </c>
      <c r="Y59" s="2"/>
      <c r="Z59" s="6">
        <f t="shared" si="19"/>
        <v>-3.786432438972364E-2</v>
      </c>
    </row>
    <row r="60" spans="1:26" s="70" customFormat="1" ht="15" hidden="1" customHeight="1" outlineLevel="2" x14ac:dyDescent="0.25">
      <c r="A60" s="25"/>
      <c r="B60" s="12" t="str">
        <f>CONCATENATE("          ","6111"," - ","F.I.C.A.")</f>
        <v xml:space="preserve">          6111 - F.I.C.A.</v>
      </c>
      <c r="C60" s="12"/>
      <c r="D60" s="8">
        <v>9827.6299999999992</v>
      </c>
      <c r="E60" s="3"/>
      <c r="F60" s="7">
        <f t="shared" si="12"/>
        <v>1.040988109048902E-2</v>
      </c>
      <c r="G60" s="3"/>
      <c r="H60" s="8">
        <v>9523.8391514951509</v>
      </c>
      <c r="I60" s="3"/>
      <c r="J60" s="7">
        <f t="shared" si="13"/>
        <v>2.2504930779143954E-2</v>
      </c>
      <c r="K60" s="3"/>
      <c r="L60" s="8">
        <f t="shared" si="14"/>
        <v>303.79084850484833</v>
      </c>
      <c r="M60" s="3"/>
      <c r="N60" s="7">
        <f t="shared" si="15"/>
        <v>3.1897939861484967E-2</v>
      </c>
      <c r="O60" s="12"/>
      <c r="P60" s="8">
        <v>103519.99</v>
      </c>
      <c r="Q60" s="3"/>
      <c r="R60" s="7">
        <f t="shared" si="16"/>
        <v>1.2912115263051456E-2</v>
      </c>
      <c r="S60" s="3"/>
      <c r="T60" s="8">
        <v>117766.961309284</v>
      </c>
      <c r="U60" s="3"/>
      <c r="V60" s="7">
        <f t="shared" si="17"/>
        <v>1.2948786629813918E-2</v>
      </c>
      <c r="W60" s="3"/>
      <c r="X60" s="8">
        <f t="shared" si="18"/>
        <v>-14246.971309283996</v>
      </c>
      <c r="Y60" s="3"/>
      <c r="Z60" s="7">
        <f t="shared" si="19"/>
        <v>-0.12097596092224938</v>
      </c>
    </row>
    <row r="61" spans="1:26" s="70" customFormat="1" ht="15" hidden="1" customHeight="1" outlineLevel="2" x14ac:dyDescent="0.25">
      <c r="A61" s="25"/>
      <c r="B61" s="12" t="str">
        <f>CONCATENATE("          ","6112"," - ","COMPENSATION INSURANCE")</f>
        <v xml:space="preserve">          6112 - COMPENSATION INSURANCE</v>
      </c>
      <c r="C61" s="12"/>
      <c r="D61" s="8">
        <v>4087.44</v>
      </c>
      <c r="E61" s="3"/>
      <c r="F61" s="7">
        <f t="shared" si="12"/>
        <v>4.3296058525309202E-3</v>
      </c>
      <c r="G61" s="3"/>
      <c r="H61" s="8">
        <v>2867.6546088646101</v>
      </c>
      <c r="I61" s="3"/>
      <c r="J61" s="7">
        <f t="shared" si="13"/>
        <v>6.7762976090224702E-3</v>
      </c>
      <c r="K61" s="3"/>
      <c r="L61" s="8">
        <f t="shared" si="14"/>
        <v>1219.78539113539</v>
      </c>
      <c r="M61" s="3"/>
      <c r="N61" s="7">
        <f t="shared" si="15"/>
        <v>0.4253599395703862</v>
      </c>
      <c r="O61" s="12"/>
      <c r="P61" s="8">
        <v>30593.72</v>
      </c>
      <c r="Q61" s="3"/>
      <c r="R61" s="7">
        <f t="shared" si="16"/>
        <v>3.8159744699117781E-3</v>
      </c>
      <c r="S61" s="3"/>
      <c r="T61" s="8">
        <v>37563.770172875396</v>
      </c>
      <c r="U61" s="3"/>
      <c r="V61" s="7">
        <f t="shared" si="17"/>
        <v>4.1302351658927174E-3</v>
      </c>
      <c r="W61" s="3"/>
      <c r="X61" s="8">
        <f t="shared" si="18"/>
        <v>-6970.0501728753952</v>
      </c>
      <c r="Y61" s="3"/>
      <c r="Z61" s="7">
        <f t="shared" si="19"/>
        <v>-0.18555246560177371</v>
      </c>
    </row>
    <row r="62" spans="1:26" s="70" customFormat="1" ht="15" hidden="1" customHeight="1" outlineLevel="2" x14ac:dyDescent="0.25">
      <c r="A62" s="25"/>
      <c r="B62" s="12" t="str">
        <f>CONCATENATE("          ","6113"," - ","GROUP INSURANCE")</f>
        <v xml:space="preserve">          6113 - GROUP INSURANCE</v>
      </c>
      <c r="C62" s="12"/>
      <c r="D62" s="8">
        <v>17295.79</v>
      </c>
      <c r="E62" s="3"/>
      <c r="F62" s="7">
        <f t="shared" si="12"/>
        <v>1.8320502223432213E-2</v>
      </c>
      <c r="G62" s="3"/>
      <c r="H62" s="8">
        <v>17692.9230769231</v>
      </c>
      <c r="I62" s="3"/>
      <c r="J62" s="7">
        <f t="shared" si="13"/>
        <v>4.1808560895777301E-2</v>
      </c>
      <c r="K62" s="3"/>
      <c r="L62" s="8">
        <f t="shared" si="14"/>
        <v>-397.133076923099</v>
      </c>
      <c r="M62" s="3"/>
      <c r="N62" s="7">
        <f t="shared" si="15"/>
        <v>-2.2445871447950856E-2</v>
      </c>
      <c r="O62" s="12"/>
      <c r="P62" s="8">
        <v>194022.91</v>
      </c>
      <c r="Q62" s="3"/>
      <c r="R62" s="7">
        <f t="shared" si="16"/>
        <v>2.4200602971393825E-2</v>
      </c>
      <c r="S62" s="3"/>
      <c r="T62" s="8">
        <v>203837.57692307699</v>
      </c>
      <c r="U62" s="3"/>
      <c r="V62" s="7">
        <f t="shared" si="17"/>
        <v>2.2412476821775041E-2</v>
      </c>
      <c r="W62" s="3"/>
      <c r="X62" s="8">
        <f t="shared" si="18"/>
        <v>-9814.6669230769912</v>
      </c>
      <c r="Y62" s="3"/>
      <c r="Z62" s="7">
        <f t="shared" si="19"/>
        <v>-4.8149448552269596E-2</v>
      </c>
    </row>
    <row r="63" spans="1:26" s="70" customFormat="1" ht="15" hidden="1" customHeight="1" outlineLevel="2" x14ac:dyDescent="0.25">
      <c r="A63" s="25"/>
      <c r="B63" s="12" t="str">
        <f>CONCATENATE("          ","6114"," - ","STATE UNEMPLOYMENT INSURANCE")</f>
        <v xml:space="preserve">          6114 - STATE UNEMPLOYMENT INSURANCE</v>
      </c>
      <c r="C63" s="12"/>
      <c r="D63" s="8">
        <v>729.5</v>
      </c>
      <c r="E63" s="3"/>
      <c r="F63" s="7">
        <f t="shared" si="12"/>
        <v>7.7272020370239226E-4</v>
      </c>
      <c r="G63" s="3"/>
      <c r="H63" s="8">
        <v>348.45779775692301</v>
      </c>
      <c r="I63" s="3"/>
      <c r="J63" s="7">
        <f t="shared" si="13"/>
        <v>8.2340939333707406E-4</v>
      </c>
      <c r="K63" s="3"/>
      <c r="L63" s="8">
        <f t="shared" si="14"/>
        <v>381.04220224307699</v>
      </c>
      <c r="M63" s="3"/>
      <c r="N63" s="7">
        <f t="shared" si="15"/>
        <v>1.0935103323728292</v>
      </c>
      <c r="O63" s="12"/>
      <c r="P63" s="8">
        <v>5478.3</v>
      </c>
      <c r="Q63" s="3"/>
      <c r="R63" s="7">
        <f t="shared" si="16"/>
        <v>6.8331189991010231E-4</v>
      </c>
      <c r="S63" s="3"/>
      <c r="T63" s="8">
        <v>4530.8795614869196</v>
      </c>
      <c r="U63" s="3"/>
      <c r="V63" s="7">
        <f t="shared" si="17"/>
        <v>4.9818210502179151E-4</v>
      </c>
      <c r="W63" s="3"/>
      <c r="X63" s="8">
        <f t="shared" si="18"/>
        <v>947.42043851308063</v>
      </c>
      <c r="Y63" s="3"/>
      <c r="Z63" s="7">
        <f t="shared" si="19"/>
        <v>0.20910298445500089</v>
      </c>
    </row>
    <row r="64" spans="1:26" s="70" customFormat="1" ht="15" hidden="1" customHeight="1" outlineLevel="2" x14ac:dyDescent="0.25">
      <c r="A64" s="25"/>
      <c r="B64" s="12" t="str">
        <f>CONCATENATE("          ","6115"," - ","P.E.R.S.")</f>
        <v xml:space="preserve">          6115 - P.E.R.S.</v>
      </c>
      <c r="C64" s="12"/>
      <c r="D64" s="8">
        <v>5032.29</v>
      </c>
      <c r="E64" s="3"/>
      <c r="F64" s="7">
        <f t="shared" si="12"/>
        <v>5.3304347551603997E-3</v>
      </c>
      <c r="G64" s="3"/>
      <c r="H64" s="8">
        <v>4613.5268585692302</v>
      </c>
      <c r="I64" s="3"/>
      <c r="J64" s="7">
        <f t="shared" si="13"/>
        <v>1.0901811858458585E-2</v>
      </c>
      <c r="K64" s="3"/>
      <c r="L64" s="8">
        <f t="shared" si="14"/>
        <v>418.76314143076979</v>
      </c>
      <c r="M64" s="3"/>
      <c r="N64" s="7">
        <f t="shared" si="15"/>
        <v>9.076854958651713E-2</v>
      </c>
      <c r="O64" s="12"/>
      <c r="P64" s="8">
        <v>74773.69</v>
      </c>
      <c r="Q64" s="3"/>
      <c r="R64" s="7">
        <f t="shared" si="16"/>
        <v>9.3265706838232699E-3</v>
      </c>
      <c r="S64" s="3"/>
      <c r="T64" s="8">
        <v>57179.915764369201</v>
      </c>
      <c r="U64" s="3"/>
      <c r="V64" s="7">
        <f t="shared" si="17"/>
        <v>6.2870818819809422E-3</v>
      </c>
      <c r="W64" s="3"/>
      <c r="X64" s="8">
        <f t="shared" si="18"/>
        <v>17593.774235630801</v>
      </c>
      <c r="Y64" s="3"/>
      <c r="Z64" s="7">
        <f t="shared" si="19"/>
        <v>0.30769150322173255</v>
      </c>
    </row>
    <row r="65" spans="1:26" s="70" customFormat="1" ht="15" hidden="1" customHeight="1" outlineLevel="2" x14ac:dyDescent="0.25">
      <c r="A65" s="25"/>
      <c r="B65" s="12" t="str">
        <f>CONCATENATE("          ","6116"," - ","EDUCATIONAL BENEFITS")</f>
        <v xml:space="preserve">          6116 - EDUCATIONAL BENEFITS</v>
      </c>
      <c r="C65" s="12"/>
      <c r="D65" s="8"/>
      <c r="E65" s="3"/>
      <c r="F65" s="7">
        <f t="shared" si="12"/>
        <v>0</v>
      </c>
      <c r="G65" s="3"/>
      <c r="H65" s="8">
        <v>0</v>
      </c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/>
      <c r="Q65" s="3"/>
      <c r="R65" s="7">
        <f t="shared" si="16"/>
        <v>0</v>
      </c>
      <c r="S65" s="3"/>
      <c r="T65" s="8">
        <v>0</v>
      </c>
      <c r="U65" s="3"/>
      <c r="V65" s="7">
        <f t="shared" si="17"/>
        <v>0</v>
      </c>
      <c r="W65" s="3"/>
      <c r="X65" s="8">
        <f t="shared" si="18"/>
        <v>0</v>
      </c>
      <c r="Y65" s="3"/>
      <c r="Z65" s="7">
        <f t="shared" si="19"/>
        <v>0</v>
      </c>
    </row>
    <row r="66" spans="1:26" s="70" customFormat="1" ht="15" hidden="1" customHeight="1" outlineLevel="2" x14ac:dyDescent="0.25">
      <c r="A66" s="25"/>
      <c r="B66" s="12" t="str">
        <f>CONCATENATE("          ","6117"," - ","RETIREMENT STAFF HOURLY")</f>
        <v xml:space="preserve">          6117 - RETIREMENT STAFF HOURLY</v>
      </c>
      <c r="C66" s="12"/>
      <c r="D66" s="8">
        <v>872.87</v>
      </c>
      <c r="E66" s="3"/>
      <c r="F66" s="7">
        <f t="shared" si="12"/>
        <v>9.2458435120727496E-4</v>
      </c>
      <c r="G66" s="3"/>
      <c r="H66" s="8"/>
      <c r="I66" s="3"/>
      <c r="J66" s="7">
        <f t="shared" si="13"/>
        <v>0</v>
      </c>
      <c r="K66" s="3"/>
      <c r="L66" s="8">
        <f t="shared" si="14"/>
        <v>872.87</v>
      </c>
      <c r="M66" s="3"/>
      <c r="N66" s="7">
        <f t="shared" si="15"/>
        <v>0</v>
      </c>
      <c r="O66" s="12"/>
      <c r="P66" s="8">
        <v>8716.75</v>
      </c>
      <c r="Q66" s="3"/>
      <c r="R66" s="7">
        <f t="shared" si="16"/>
        <v>1.0872458615887016E-3</v>
      </c>
      <c r="S66" s="3"/>
      <c r="T66" s="8"/>
      <c r="U66" s="3"/>
      <c r="V66" s="7">
        <f t="shared" si="17"/>
        <v>0</v>
      </c>
      <c r="W66" s="3"/>
      <c r="X66" s="8">
        <f t="shared" si="18"/>
        <v>8716.75</v>
      </c>
      <c r="Y66" s="3"/>
      <c r="Z66" s="7">
        <f t="shared" si="19"/>
        <v>0</v>
      </c>
    </row>
    <row r="67" spans="1:26" s="70" customFormat="1" ht="15" hidden="1" customHeight="1" outlineLevel="2" x14ac:dyDescent="0.25">
      <c r="A67" s="25"/>
      <c r="B67" s="12" t="str">
        <f>CONCATENATE("          ","6118"," - ","VACATION")</f>
        <v xml:space="preserve">          6118 - VACATION</v>
      </c>
      <c r="C67" s="12"/>
      <c r="D67" s="8">
        <v>5397.3</v>
      </c>
      <c r="E67" s="3"/>
      <c r="F67" s="7">
        <f t="shared" si="12"/>
        <v>5.7170702610595224E-3</v>
      </c>
      <c r="G67" s="3"/>
      <c r="H67" s="8">
        <v>4024.5376188230798</v>
      </c>
      <c r="I67" s="3"/>
      <c r="J67" s="7">
        <f t="shared" si="13"/>
        <v>9.5100241708151196E-3</v>
      </c>
      <c r="K67" s="3"/>
      <c r="L67" s="8">
        <f t="shared" si="14"/>
        <v>1372.7623811769204</v>
      </c>
      <c r="M67" s="3"/>
      <c r="N67" s="7">
        <f t="shared" si="15"/>
        <v>0.341098161129468</v>
      </c>
      <c r="O67" s="12"/>
      <c r="P67" s="8">
        <v>72362.73</v>
      </c>
      <c r="Q67" s="3"/>
      <c r="R67" s="7">
        <f t="shared" si="16"/>
        <v>9.0258500846944773E-3</v>
      </c>
      <c r="S67" s="3"/>
      <c r="T67" s="8">
        <v>50407.9321951077</v>
      </c>
      <c r="U67" s="3"/>
      <c r="V67" s="7">
        <f t="shared" si="17"/>
        <v>5.5424845065873383E-3</v>
      </c>
      <c r="W67" s="3"/>
      <c r="X67" s="8">
        <f t="shared" si="18"/>
        <v>21954.797804892296</v>
      </c>
      <c r="Y67" s="3"/>
      <c r="Z67" s="7">
        <f t="shared" si="19"/>
        <v>0.43554251977475683</v>
      </c>
    </row>
    <row r="68" spans="1:26" s="70" customFormat="1" ht="15" hidden="1" customHeight="1" outlineLevel="2" x14ac:dyDescent="0.25">
      <c r="A68" s="25"/>
      <c r="B68" s="12" t="str">
        <f>CONCATENATE("          ","6119"," - ","SICK LEAVE")</f>
        <v xml:space="preserve">          6119 - SICK LEAVE</v>
      </c>
      <c r="C68" s="12"/>
      <c r="D68" s="8">
        <v>4147.1400000000003</v>
      </c>
      <c r="E68" s="3"/>
      <c r="F68" s="7">
        <f t="shared" si="12"/>
        <v>4.3928428589202727E-3</v>
      </c>
      <c r="G68" s="3"/>
      <c r="H68" s="8">
        <v>6163.4563706461504</v>
      </c>
      <c r="I68" s="3"/>
      <c r="J68" s="7">
        <f t="shared" si="13"/>
        <v>1.4564311384856768E-2</v>
      </c>
      <c r="K68" s="3"/>
      <c r="L68" s="8">
        <f t="shared" si="14"/>
        <v>-2016.3163706461501</v>
      </c>
      <c r="M68" s="3"/>
      <c r="N68" s="7">
        <f t="shared" si="15"/>
        <v>-0.32714052787799131</v>
      </c>
      <c r="O68" s="12"/>
      <c r="P68" s="8">
        <v>30785.67</v>
      </c>
      <c r="Q68" s="3"/>
      <c r="R68" s="7">
        <f t="shared" si="16"/>
        <v>3.8399165174790423E-3</v>
      </c>
      <c r="S68" s="3"/>
      <c r="T68" s="8">
        <v>79301.045807369199</v>
      </c>
      <c r="U68" s="3"/>
      <c r="V68" s="7">
        <f t="shared" si="17"/>
        <v>8.7193582161296107E-3</v>
      </c>
      <c r="W68" s="3"/>
      <c r="X68" s="8">
        <f t="shared" si="18"/>
        <v>-48515.375807369201</v>
      </c>
      <c r="Y68" s="3"/>
      <c r="Z68" s="7">
        <f t="shared" si="19"/>
        <v>-0.61178733916344918</v>
      </c>
    </row>
    <row r="69" spans="1:26" s="70" customFormat="1" ht="15" hidden="1" customHeight="1" outlineLevel="2" x14ac:dyDescent="0.25">
      <c r="A69" s="25"/>
      <c r="B69" s="12" t="str">
        <f>CONCATENATE("          ","6156"," - ","EMPLOYEE MEALS")</f>
        <v xml:space="preserve">          6156 - EMPLOYEE MEALS</v>
      </c>
      <c r="C69" s="12"/>
      <c r="D69" s="8">
        <v>3665.14</v>
      </c>
      <c r="E69" s="3"/>
      <c r="F69" s="7">
        <f t="shared" si="12"/>
        <v>3.8822861239174583E-3</v>
      </c>
      <c r="G69" s="3"/>
      <c r="H69" s="8">
        <v>2275</v>
      </c>
      <c r="I69" s="3"/>
      <c r="J69" s="7">
        <f t="shared" si="13"/>
        <v>5.3758486161029706E-3</v>
      </c>
      <c r="K69" s="3"/>
      <c r="L69" s="8">
        <f t="shared" si="14"/>
        <v>1390.1399999999999</v>
      </c>
      <c r="M69" s="3"/>
      <c r="N69" s="7">
        <f t="shared" si="15"/>
        <v>0.61105054945054937</v>
      </c>
      <c r="O69" s="12"/>
      <c r="P69" s="8">
        <v>34405.99</v>
      </c>
      <c r="Q69" s="3"/>
      <c r="R69" s="7">
        <f t="shared" si="16"/>
        <v>4.2914813710800753E-3</v>
      </c>
      <c r="S69" s="3"/>
      <c r="T69" s="8">
        <v>25900</v>
      </c>
      <c r="U69" s="3"/>
      <c r="V69" s="7">
        <f t="shared" si="17"/>
        <v>2.8477730085215485E-3</v>
      </c>
      <c r="W69" s="3"/>
      <c r="X69" s="8">
        <f t="shared" si="18"/>
        <v>8505.989999999998</v>
      </c>
      <c r="Y69" s="3"/>
      <c r="Z69" s="7">
        <f t="shared" si="19"/>
        <v>0.32841660231660225</v>
      </c>
    </row>
    <row r="70" spans="1:26" s="69" customFormat="1" ht="15" customHeight="1" outlineLevel="1" collapsed="1" x14ac:dyDescent="0.25">
      <c r="A70" s="26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177938.33000000002</v>
      </c>
      <c r="E70" s="2"/>
      <c r="F70" s="6">
        <f t="shared" si="12"/>
        <v>0.18848052447438451</v>
      </c>
      <c r="G70" s="2"/>
      <c r="H70" s="2">
        <f>SUM(OSRRefH22_1x_0)</f>
        <v>158512.10013948457</v>
      </c>
      <c r="I70" s="2"/>
      <c r="J70" s="6">
        <f t="shared" si="13"/>
        <v>0.37456573809688948</v>
      </c>
      <c r="K70" s="2"/>
      <c r="L70" s="2">
        <f t="shared" si="14"/>
        <v>19426.22986051545</v>
      </c>
      <c r="M70" s="2"/>
      <c r="N70" s="6">
        <f t="shared" si="15"/>
        <v>0.12255360848428046</v>
      </c>
      <c r="O70" s="14"/>
      <c r="P70" s="2">
        <f>SUM(OSRRefP22_1x_0)</f>
        <v>2002980.29</v>
      </c>
      <c r="Q70" s="2"/>
      <c r="R70" s="6">
        <f t="shared" si="16"/>
        <v>0.24983302620199471</v>
      </c>
      <c r="S70" s="2"/>
      <c r="T70" s="2">
        <f>SUM(OSRRefT22_1x_0)</f>
        <v>2065459.5443372764</v>
      </c>
      <c r="U70" s="2"/>
      <c r="V70" s="6">
        <f t="shared" si="17"/>
        <v>0.22710270040760278</v>
      </c>
      <c r="W70" s="2"/>
      <c r="X70" s="2">
        <f t="shared" si="18"/>
        <v>-62479.254337276332</v>
      </c>
      <c r="Y70" s="2"/>
      <c r="Z70" s="6">
        <f t="shared" si="19"/>
        <v>-3.024956577269754E-2</v>
      </c>
    </row>
    <row r="71" spans="1:26" s="70" customFormat="1" ht="15" hidden="1" customHeight="1" outlineLevel="2" x14ac:dyDescent="0.25">
      <c r="A71" s="25"/>
      <c r="B71" s="12" t="str">
        <f>CONCATENATE("          ","6001"," - ","ADMINISTRATIVE SALARIES")</f>
        <v xml:space="preserve">          6001 - ADMINISTRATIVE SALARIES</v>
      </c>
      <c r="C71" s="12"/>
      <c r="D71" s="8">
        <v>3726.6</v>
      </c>
      <c r="E71" s="3"/>
      <c r="F71" s="7">
        <f t="shared" si="12"/>
        <v>3.9473874038620082E-3</v>
      </c>
      <c r="G71" s="3"/>
      <c r="H71" s="8">
        <v>4139.8076923076896</v>
      </c>
      <c r="I71" s="3"/>
      <c r="J71" s="7">
        <f t="shared" si="13"/>
        <v>9.7824085510438349E-3</v>
      </c>
      <c r="K71" s="3"/>
      <c r="L71" s="8">
        <f t="shared" si="14"/>
        <v>-413.20769230768974</v>
      </c>
      <c r="M71" s="3"/>
      <c r="N71" s="7">
        <f t="shared" si="15"/>
        <v>-9.9813257769312394E-2</v>
      </c>
      <c r="O71" s="12"/>
      <c r="P71" s="8">
        <v>51393.13</v>
      </c>
      <c r="Q71" s="3"/>
      <c r="R71" s="7">
        <f t="shared" si="16"/>
        <v>6.4102983229518051E-3</v>
      </c>
      <c r="S71" s="3"/>
      <c r="T71" s="8">
        <v>49677.692307692298</v>
      </c>
      <c r="U71" s="3"/>
      <c r="V71" s="7">
        <f t="shared" si="17"/>
        <v>5.4621927134936169E-3</v>
      </c>
      <c r="W71" s="3"/>
      <c r="X71" s="8">
        <f t="shared" si="18"/>
        <v>1715.4376923076998</v>
      </c>
      <c r="Y71" s="3"/>
      <c r="Z71" s="7">
        <f t="shared" si="19"/>
        <v>3.4531348229355538E-2</v>
      </c>
    </row>
    <row r="72" spans="1:26" s="70" customFormat="1" ht="15" hidden="1" customHeight="1" outlineLevel="2" x14ac:dyDescent="0.25">
      <c r="A72" s="25"/>
      <c r="B72" s="12" t="str">
        <f>CONCATENATE("          ","6002"," - ","STAFF SALARIES")</f>
        <v xml:space="preserve">          6002 - STAFF SALARIES</v>
      </c>
      <c r="C72" s="12"/>
      <c r="D72" s="8">
        <v>47057.9</v>
      </c>
      <c r="E72" s="3"/>
      <c r="F72" s="7">
        <f t="shared" si="12"/>
        <v>4.9845908257445927E-2</v>
      </c>
      <c r="G72" s="3"/>
      <c r="H72" s="8">
        <v>44231.773854176899</v>
      </c>
      <c r="I72" s="3"/>
      <c r="J72" s="7">
        <f t="shared" si="13"/>
        <v>0.10452014077439843</v>
      </c>
      <c r="K72" s="3"/>
      <c r="L72" s="8">
        <f t="shared" si="14"/>
        <v>2826.126145823102</v>
      </c>
      <c r="M72" s="3"/>
      <c r="N72" s="7">
        <f t="shared" si="15"/>
        <v>6.3893574676436471E-2</v>
      </c>
      <c r="O72" s="12"/>
      <c r="P72" s="8">
        <v>642048.5</v>
      </c>
      <c r="Q72" s="3"/>
      <c r="R72" s="7">
        <f t="shared" si="16"/>
        <v>8.008312439432512E-2</v>
      </c>
      <c r="S72" s="3"/>
      <c r="T72" s="8">
        <v>548745.87278858398</v>
      </c>
      <c r="U72" s="3"/>
      <c r="V72" s="7">
        <f t="shared" si="17"/>
        <v>6.0336049616406512E-2</v>
      </c>
      <c r="W72" s="3"/>
      <c r="X72" s="8">
        <f t="shared" si="18"/>
        <v>93302.627211416024</v>
      </c>
      <c r="Y72" s="3"/>
      <c r="Z72" s="7">
        <f t="shared" si="19"/>
        <v>0.17002884547864808</v>
      </c>
    </row>
    <row r="73" spans="1:26" s="70" customFormat="1" ht="15" hidden="1" customHeight="1" outlineLevel="2" x14ac:dyDescent="0.25">
      <c r="A73" s="25"/>
      <c r="B73" s="12" t="str">
        <f>CONCATENATE("          ","6003"," - ","STAFF HOURLY-9 MONTH")</f>
        <v xml:space="preserve">          6003 - STAFF HOURLY-9 MONTH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25">
      <c r="A74" s="25"/>
      <c r="B74" s="12" t="str">
        <f>CONCATENATE("          ","6004"," - ","STAFF HOURLY")</f>
        <v xml:space="preserve">          6004 - STAFF HOURLY</v>
      </c>
      <c r="C74" s="12"/>
      <c r="D74" s="8">
        <v>31542.85</v>
      </c>
      <c r="E74" s="3"/>
      <c r="F74" s="7">
        <f t="shared" si="12"/>
        <v>3.3411648358264566E-2</v>
      </c>
      <c r="G74" s="3"/>
      <c r="H74" s="8">
        <v>38131.141067999997</v>
      </c>
      <c r="I74" s="3"/>
      <c r="J74" s="7">
        <f t="shared" si="13"/>
        <v>9.0104282171795572E-2</v>
      </c>
      <c r="K74" s="3"/>
      <c r="L74" s="8">
        <f t="shared" si="14"/>
        <v>-6588.2910679999986</v>
      </c>
      <c r="M74" s="3"/>
      <c r="N74" s="7">
        <f t="shared" si="15"/>
        <v>-0.1727798036846307</v>
      </c>
      <c r="O74" s="12"/>
      <c r="P74" s="8">
        <v>301390.87</v>
      </c>
      <c r="Q74" s="3"/>
      <c r="R74" s="7">
        <f t="shared" si="16"/>
        <v>3.7592678019688339E-2</v>
      </c>
      <c r="S74" s="3"/>
      <c r="T74" s="8">
        <v>452008.79686599999</v>
      </c>
      <c r="U74" s="3"/>
      <c r="V74" s="7">
        <f t="shared" si="17"/>
        <v>4.9699554105378158E-2</v>
      </c>
      <c r="W74" s="3"/>
      <c r="X74" s="8">
        <f t="shared" si="18"/>
        <v>-150617.92686599999</v>
      </c>
      <c r="Y74" s="3"/>
      <c r="Z74" s="7">
        <f t="shared" si="19"/>
        <v>-0.33321901677646187</v>
      </c>
    </row>
    <row r="75" spans="1:26" s="70" customFormat="1" ht="15" hidden="1" customHeight="1" outlineLevel="2" x14ac:dyDescent="0.25">
      <c r="A75" s="25"/>
      <c r="B75" s="12" t="str">
        <f>CONCATENATE("          ","6005"," - ","TEMPORARY WAGES-HOURLY")</f>
        <v xml:space="preserve">          6005 - TEMPORARY WAGES-HOURLY</v>
      </c>
      <c r="C75" s="12"/>
      <c r="D75" s="8">
        <v>5073.82</v>
      </c>
      <c r="E75" s="3"/>
      <c r="F75" s="7">
        <f t="shared" si="12"/>
        <v>5.3744252555850188E-3</v>
      </c>
      <c r="G75" s="3"/>
      <c r="H75" s="8">
        <v>2252.5</v>
      </c>
      <c r="I75" s="3"/>
      <c r="J75" s="7">
        <f t="shared" si="13"/>
        <v>5.3226808825371169E-3</v>
      </c>
      <c r="K75" s="3"/>
      <c r="L75" s="8">
        <f t="shared" si="14"/>
        <v>2821.3199999999997</v>
      </c>
      <c r="M75" s="3"/>
      <c r="N75" s="7">
        <f t="shared" si="15"/>
        <v>1.2525283018867923</v>
      </c>
      <c r="O75" s="12"/>
      <c r="P75" s="8">
        <v>109994.77</v>
      </c>
      <c r="Q75" s="3"/>
      <c r="R75" s="7">
        <f t="shared" si="16"/>
        <v>1.3719718757438389E-2</v>
      </c>
      <c r="S75" s="3"/>
      <c r="T75" s="8">
        <v>33631.5</v>
      </c>
      <c r="U75" s="3"/>
      <c r="V75" s="7">
        <f t="shared" si="17"/>
        <v>3.6978717349842646E-3</v>
      </c>
      <c r="W75" s="3"/>
      <c r="X75" s="8">
        <f t="shared" si="18"/>
        <v>76363.27</v>
      </c>
      <c r="Y75" s="3"/>
      <c r="Z75" s="7">
        <f t="shared" si="19"/>
        <v>2.2705876930853517</v>
      </c>
    </row>
    <row r="76" spans="1:26" s="70" customFormat="1" ht="15" hidden="1" customHeight="1" outlineLevel="2" x14ac:dyDescent="0.25">
      <c r="A76" s="25"/>
      <c r="B76" s="12" t="str">
        <f>CONCATENATE("          ","6006"," - ","TEMPORARY PART TIME")</f>
        <v xml:space="preserve">          6006 - TEMPORARY PART TIME</v>
      </c>
      <c r="C76" s="12"/>
      <c r="D76" s="8">
        <v>3109.84</v>
      </c>
      <c r="E76" s="3"/>
      <c r="F76" s="7">
        <f t="shared" si="12"/>
        <v>3.2940866323260421E-3</v>
      </c>
      <c r="G76" s="3"/>
      <c r="H76" s="8">
        <v>0</v>
      </c>
      <c r="I76" s="3"/>
      <c r="J76" s="7">
        <f t="shared" si="13"/>
        <v>0</v>
      </c>
      <c r="K76" s="3"/>
      <c r="L76" s="8">
        <f t="shared" si="14"/>
        <v>3109.84</v>
      </c>
      <c r="M76" s="3"/>
      <c r="N76" s="7">
        <f t="shared" si="15"/>
        <v>0</v>
      </c>
      <c r="O76" s="12"/>
      <c r="P76" s="8">
        <v>26145.98</v>
      </c>
      <c r="Q76" s="3"/>
      <c r="R76" s="7">
        <f t="shared" si="16"/>
        <v>3.261204984906182E-3</v>
      </c>
      <c r="S76" s="3"/>
      <c r="T76" s="8">
        <v>0</v>
      </c>
      <c r="U76" s="3"/>
      <c r="V76" s="7">
        <f t="shared" si="17"/>
        <v>0</v>
      </c>
      <c r="W76" s="3"/>
      <c r="X76" s="8">
        <f t="shared" si="18"/>
        <v>26145.98</v>
      </c>
      <c r="Y76" s="3"/>
      <c r="Z76" s="7">
        <f t="shared" si="19"/>
        <v>0</v>
      </c>
    </row>
    <row r="77" spans="1:26" s="70" customFormat="1" ht="15" hidden="1" customHeight="1" outlineLevel="2" x14ac:dyDescent="0.25">
      <c r="A77" s="25"/>
      <c r="B77" s="12" t="str">
        <f>CONCATENATE("          ","6007"," - ","STUDENT HOURLY")</f>
        <v xml:space="preserve">          6007 - STUDENT HOURLY</v>
      </c>
      <c r="C77" s="12"/>
      <c r="D77" s="8">
        <v>75922.53</v>
      </c>
      <c r="E77" s="3"/>
      <c r="F77" s="7">
        <f t="shared" si="12"/>
        <v>8.0420661887869754E-2</v>
      </c>
      <c r="G77" s="3"/>
      <c r="H77" s="8">
        <v>30466.416000000001</v>
      </c>
      <c r="I77" s="3"/>
      <c r="J77" s="7">
        <f t="shared" si="13"/>
        <v>7.1992457270864799E-2</v>
      </c>
      <c r="K77" s="3"/>
      <c r="L77" s="8">
        <f t="shared" si="14"/>
        <v>45456.114000000001</v>
      </c>
      <c r="M77" s="3"/>
      <c r="N77" s="7">
        <f t="shared" si="15"/>
        <v>1.4920072646549565</v>
      </c>
      <c r="O77" s="12"/>
      <c r="P77" s="8">
        <v>745906.58</v>
      </c>
      <c r="Q77" s="3"/>
      <c r="R77" s="7">
        <f t="shared" si="16"/>
        <v>9.3037409841601706E-2</v>
      </c>
      <c r="S77" s="3"/>
      <c r="T77" s="8">
        <v>395698.962</v>
      </c>
      <c r="U77" s="3"/>
      <c r="V77" s="7">
        <f t="shared" si="17"/>
        <v>4.3508139902841463E-2</v>
      </c>
      <c r="W77" s="3"/>
      <c r="X77" s="8">
        <f t="shared" si="18"/>
        <v>350207.61799999996</v>
      </c>
      <c r="Y77" s="3"/>
      <c r="Z77" s="7">
        <f t="shared" si="19"/>
        <v>0.88503547300182195</v>
      </c>
    </row>
    <row r="78" spans="1:26" s="70" customFormat="1" ht="15" hidden="1" customHeight="1" outlineLevel="2" x14ac:dyDescent="0.25">
      <c r="A78" s="25"/>
      <c r="B78" s="12" t="str">
        <f>CONCATENATE("          ","6008"," - ","STUDENT HOURLY-FICA EXEMPT")</f>
        <v xml:space="preserve">          6008 - STUDENT HOURLY-FICA EXEMPT</v>
      </c>
      <c r="C78" s="12"/>
      <c r="D78" s="8">
        <v>11504.79</v>
      </c>
      <c r="E78" s="3"/>
      <c r="F78" s="7">
        <f t="shared" si="12"/>
        <v>1.2186406679031181E-2</v>
      </c>
      <c r="G78" s="3"/>
      <c r="H78" s="8">
        <v>39290.461524999999</v>
      </c>
      <c r="I78" s="3"/>
      <c r="J78" s="7">
        <f t="shared" si="13"/>
        <v>9.284376844624978E-2</v>
      </c>
      <c r="K78" s="3"/>
      <c r="L78" s="8">
        <f t="shared" si="14"/>
        <v>-27785.671524999998</v>
      </c>
      <c r="M78" s="3"/>
      <c r="N78" s="7">
        <f t="shared" si="15"/>
        <v>-0.70718618327556027</v>
      </c>
      <c r="O78" s="12"/>
      <c r="P78" s="8">
        <v>126100.46</v>
      </c>
      <c r="Q78" s="3"/>
      <c r="R78" s="7">
        <f t="shared" si="16"/>
        <v>1.5728591881083158E-2</v>
      </c>
      <c r="S78" s="3"/>
      <c r="T78" s="8">
        <v>585696.72037500003</v>
      </c>
      <c r="U78" s="3"/>
      <c r="V78" s="7">
        <f t="shared" si="17"/>
        <v>6.4398892334498761E-2</v>
      </c>
      <c r="W78" s="3"/>
      <c r="X78" s="8">
        <f t="shared" si="18"/>
        <v>-459596.26037500001</v>
      </c>
      <c r="Y78" s="3"/>
      <c r="Z78" s="7">
        <f t="shared" si="19"/>
        <v>-0.78470007494789706</v>
      </c>
    </row>
    <row r="79" spans="1:26" s="70" customFormat="1" ht="15" hidden="1" customHeight="1" outlineLevel="2" x14ac:dyDescent="0.25">
      <c r="A79" s="25"/>
      <c r="B79" s="12" t="str">
        <f>CONCATENATE("          ","6009"," - ","TEMPORARY-SEASONAL")</f>
        <v xml:space="preserve">          6009 - TEMPORARY-SEASONAL</v>
      </c>
      <c r="C79" s="12"/>
      <c r="D79" s="8"/>
      <c r="E79" s="3"/>
      <c r="F79" s="7">
        <f t="shared" si="12"/>
        <v>0</v>
      </c>
      <c r="G79" s="3"/>
      <c r="H79" s="8">
        <v>0</v>
      </c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0</v>
      </c>
      <c r="U79" s="3"/>
      <c r="V79" s="7">
        <f t="shared" si="17"/>
        <v>0</v>
      </c>
      <c r="W79" s="3"/>
      <c r="X79" s="8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25">
      <c r="A80" s="25"/>
      <c r="B80" s="12" t="str">
        <f>CONCATENATE("          ","6010"," - ","GRATUITY")</f>
        <v xml:space="preserve">          6010 - GRATUITY</v>
      </c>
      <c r="C80" s="12"/>
      <c r="D80" s="8"/>
      <c r="E80" s="3"/>
      <c r="F80" s="7">
        <f t="shared" si="12"/>
        <v>0</v>
      </c>
      <c r="G80" s="3"/>
      <c r="H80" s="8">
        <v>0</v>
      </c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0</v>
      </c>
      <c r="U80" s="3"/>
      <c r="V80" s="7">
        <f t="shared" si="17"/>
        <v>0</v>
      </c>
      <c r="W80" s="3"/>
      <c r="X80" s="8">
        <f t="shared" si="18"/>
        <v>0</v>
      </c>
      <c r="Y80" s="3"/>
      <c r="Z80" s="7">
        <f t="shared" si="19"/>
        <v>0</v>
      </c>
    </row>
    <row r="81" spans="1:26" s="69" customFormat="1" ht="15" customHeight="1" outlineLevel="1" collapsed="1" x14ac:dyDescent="0.25">
      <c r="A81" s="26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1274.8800000000001</v>
      </c>
      <c r="E81" s="2"/>
      <c r="F81" s="6">
        <f t="shared" si="12"/>
        <v>1.3504119716190623E-3</v>
      </c>
      <c r="G81" s="2"/>
      <c r="H81" s="2">
        <f>SUM(OSRRefH22_2x_0)</f>
        <v>400</v>
      </c>
      <c r="I81" s="2"/>
      <c r="J81" s="6">
        <f t="shared" si="13"/>
        <v>9.4520415228184094E-4</v>
      </c>
      <c r="K81" s="2"/>
      <c r="L81" s="2">
        <f t="shared" si="14"/>
        <v>874.88000000000011</v>
      </c>
      <c r="M81" s="2"/>
      <c r="N81" s="6">
        <f t="shared" si="15"/>
        <v>2.1872000000000003</v>
      </c>
      <c r="O81" s="14"/>
      <c r="P81" s="2">
        <f>SUM(OSRRefP22_2x_0)</f>
        <v>14110.33</v>
      </c>
      <c r="Q81" s="2"/>
      <c r="R81" s="6">
        <f t="shared" si="16"/>
        <v>1.7599905811398634E-3</v>
      </c>
      <c r="S81" s="2"/>
      <c r="T81" s="2">
        <f>SUM(OSRRefT22_2x_0)</f>
        <v>6800</v>
      </c>
      <c r="U81" s="2"/>
      <c r="V81" s="6">
        <f t="shared" si="17"/>
        <v>7.47677855519171E-4</v>
      </c>
      <c r="W81" s="2"/>
      <c r="X81" s="2">
        <f t="shared" si="18"/>
        <v>7310.33</v>
      </c>
      <c r="Y81" s="2"/>
      <c r="Z81" s="6">
        <f t="shared" si="19"/>
        <v>1.0750485294117647</v>
      </c>
    </row>
    <row r="82" spans="1:26" s="70" customFormat="1" ht="15" hidden="1" customHeight="1" outlineLevel="2" x14ac:dyDescent="0.25">
      <c r="A82" s="25"/>
      <c r="B82" s="12" t="str">
        <f>CONCATENATE("          ","6362"," - ","ADVERTISING EXPENSE")</f>
        <v xml:space="preserve">          6362 - ADVERTISING EXPENSE</v>
      </c>
      <c r="C82" s="12"/>
      <c r="D82" s="8">
        <v>1274.8800000000001</v>
      </c>
      <c r="E82" s="3"/>
      <c r="F82" s="7">
        <f t="shared" si="12"/>
        <v>1.3504119716190623E-3</v>
      </c>
      <c r="G82" s="3"/>
      <c r="H82" s="8">
        <v>400</v>
      </c>
      <c r="I82" s="3"/>
      <c r="J82" s="7">
        <f t="shared" si="13"/>
        <v>9.4520415228184094E-4</v>
      </c>
      <c r="K82" s="3"/>
      <c r="L82" s="8">
        <f t="shared" si="14"/>
        <v>874.88000000000011</v>
      </c>
      <c r="M82" s="3"/>
      <c r="N82" s="7">
        <f t="shared" si="15"/>
        <v>2.1872000000000003</v>
      </c>
      <c r="O82" s="12"/>
      <c r="P82" s="8">
        <v>14110.33</v>
      </c>
      <c r="Q82" s="3"/>
      <c r="R82" s="7">
        <f t="shared" si="16"/>
        <v>1.7599905811398634E-3</v>
      </c>
      <c r="S82" s="3"/>
      <c r="T82" s="8">
        <v>6800</v>
      </c>
      <c r="U82" s="3"/>
      <c r="V82" s="7">
        <f t="shared" si="17"/>
        <v>7.47677855519171E-4</v>
      </c>
      <c r="W82" s="3"/>
      <c r="X82" s="8">
        <f t="shared" si="18"/>
        <v>7310.33</v>
      </c>
      <c r="Y82" s="3"/>
      <c r="Z82" s="7">
        <f t="shared" si="19"/>
        <v>1.0750485294117647</v>
      </c>
    </row>
    <row r="83" spans="1:26" s="69" customFormat="1" ht="15" customHeight="1" outlineLevel="1" collapsed="1" x14ac:dyDescent="0.25">
      <c r="A83" s="26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-10.65</v>
      </c>
      <c r="E83" s="2"/>
      <c r="F83" s="6">
        <f t="shared" si="12"/>
        <v>-1.1280973501618201E-5</v>
      </c>
      <c r="G83" s="2"/>
      <c r="H83" s="2">
        <f>SUM(OSRRefH22_3x_0)</f>
        <v>235</v>
      </c>
      <c r="I83" s="2"/>
      <c r="J83" s="6">
        <f t="shared" si="13"/>
        <v>5.5530743946558155E-4</v>
      </c>
      <c r="K83" s="2"/>
      <c r="L83" s="2">
        <f t="shared" si="14"/>
        <v>-245.65</v>
      </c>
      <c r="M83" s="2"/>
      <c r="N83" s="6">
        <f t="shared" si="15"/>
        <v>-1.0453191489361702</v>
      </c>
      <c r="O83" s="14"/>
      <c r="P83" s="2">
        <f>SUM(OSRRefP22_3x_0)</f>
        <v>4.88</v>
      </c>
      <c r="Q83" s="2"/>
      <c r="R83" s="6">
        <f t="shared" si="16"/>
        <v>6.0868555419770712E-7</v>
      </c>
      <c r="S83" s="2"/>
      <c r="T83" s="2">
        <f>SUM(OSRRefT22_3x_0)</f>
        <v>2585</v>
      </c>
      <c r="U83" s="2"/>
      <c r="V83" s="6">
        <f t="shared" si="17"/>
        <v>2.8422753772309664E-4</v>
      </c>
      <c r="W83" s="2"/>
      <c r="X83" s="2">
        <f t="shared" si="18"/>
        <v>-2580.12</v>
      </c>
      <c r="Y83" s="2"/>
      <c r="Z83" s="6">
        <f t="shared" si="19"/>
        <v>-0.99811218568665372</v>
      </c>
    </row>
    <row r="84" spans="1:26" s="70" customFormat="1" ht="15" hidden="1" customHeight="1" outlineLevel="2" x14ac:dyDescent="0.25">
      <c r="A84" s="25"/>
      <c r="B84" s="12" t="str">
        <f>CONCATENATE("          ","6272"," - ","CASH (OVER/SHORT)")</f>
        <v xml:space="preserve">          6272 - CASH (OVER/SHORT)</v>
      </c>
      <c r="C84" s="12"/>
      <c r="D84" s="8">
        <v>-10.65</v>
      </c>
      <c r="E84" s="3"/>
      <c r="F84" s="7">
        <f t="shared" si="12"/>
        <v>-1.1280973501618201E-5</v>
      </c>
      <c r="G84" s="3"/>
      <c r="H84" s="8">
        <v>235</v>
      </c>
      <c r="I84" s="3"/>
      <c r="J84" s="7">
        <f t="shared" si="13"/>
        <v>5.5530743946558155E-4</v>
      </c>
      <c r="K84" s="3"/>
      <c r="L84" s="8">
        <f t="shared" si="14"/>
        <v>-245.65</v>
      </c>
      <c r="M84" s="3"/>
      <c r="N84" s="7">
        <f t="shared" si="15"/>
        <v>-1.0453191489361702</v>
      </c>
      <c r="O84" s="12"/>
      <c r="P84" s="8">
        <v>4.88</v>
      </c>
      <c r="Q84" s="3"/>
      <c r="R84" s="7">
        <f t="shared" si="16"/>
        <v>6.0868555419770712E-7</v>
      </c>
      <c r="S84" s="3"/>
      <c r="T84" s="8">
        <v>2585</v>
      </c>
      <c r="U84" s="3"/>
      <c r="V84" s="7">
        <f t="shared" si="17"/>
        <v>2.8422753772309664E-4</v>
      </c>
      <c r="W84" s="3"/>
      <c r="X84" s="8">
        <f t="shared" si="18"/>
        <v>-2580.12</v>
      </c>
      <c r="Y84" s="3"/>
      <c r="Z84" s="7">
        <f t="shared" si="19"/>
        <v>-0.99811218568665372</v>
      </c>
    </row>
    <row r="85" spans="1:26" s="69" customFormat="1" ht="15" customHeight="1" outlineLevel="1" collapsed="1" x14ac:dyDescent="0.25">
      <c r="A85" s="26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18292.439999999999</v>
      </c>
      <c r="E85" s="2"/>
      <c r="F85" s="6">
        <f t="shared" si="12"/>
        <v>1.9376200086379421E-2</v>
      </c>
      <c r="G85" s="2"/>
      <c r="H85" s="2">
        <f>SUM(OSRRefH22_4x_0)</f>
        <v>16249</v>
      </c>
      <c r="I85" s="2"/>
      <c r="J85" s="6">
        <f t="shared" si="13"/>
        <v>3.8396555676069082E-2</v>
      </c>
      <c r="K85" s="2"/>
      <c r="L85" s="2">
        <f t="shared" si="14"/>
        <v>2043.4399999999987</v>
      </c>
      <c r="M85" s="2"/>
      <c r="N85" s="6">
        <f t="shared" si="15"/>
        <v>0.1257578927934026</v>
      </c>
      <c r="O85" s="14"/>
      <c r="P85" s="2">
        <f>SUM(OSRRefP22_4x_0)</f>
        <v>164742.76999999999</v>
      </c>
      <c r="Q85" s="2"/>
      <c r="R85" s="6">
        <f t="shared" si="16"/>
        <v>2.0548472183917088E-2</v>
      </c>
      <c r="S85" s="2"/>
      <c r="T85" s="2">
        <f>SUM(OSRRefT22_4x_0)</f>
        <v>200765.75</v>
      </c>
      <c r="U85" s="2"/>
      <c r="V85" s="6">
        <f t="shared" si="17"/>
        <v>2.2074721385543825E-2</v>
      </c>
      <c r="W85" s="2"/>
      <c r="X85" s="2">
        <f t="shared" si="18"/>
        <v>-36022.98000000001</v>
      </c>
      <c r="Y85" s="2"/>
      <c r="Z85" s="6">
        <f t="shared" si="19"/>
        <v>-0.17942791536903088</v>
      </c>
    </row>
    <row r="86" spans="1:26" s="70" customFormat="1" ht="15" hidden="1" customHeight="1" outlineLevel="2" x14ac:dyDescent="0.25">
      <c r="A86" s="25"/>
      <c r="B86" s="12" t="str">
        <f>CONCATENATE("          ","6381"," - ","BANK/CREDIT CARD FEES")</f>
        <v xml:space="preserve">          6381 - BANK/CREDIT CARD FEES</v>
      </c>
      <c r="C86" s="12"/>
      <c r="D86" s="8">
        <v>18292.439999999999</v>
      </c>
      <c r="E86" s="3"/>
      <c r="F86" s="7">
        <f t="shared" si="12"/>
        <v>1.9376200086379421E-2</v>
      </c>
      <c r="G86" s="3"/>
      <c r="H86" s="8">
        <v>16249</v>
      </c>
      <c r="I86" s="3"/>
      <c r="J86" s="7">
        <f t="shared" si="13"/>
        <v>3.8396555676069082E-2</v>
      </c>
      <c r="K86" s="3"/>
      <c r="L86" s="8">
        <f t="shared" si="14"/>
        <v>2043.4399999999987</v>
      </c>
      <c r="M86" s="3"/>
      <c r="N86" s="7">
        <f t="shared" si="15"/>
        <v>0.1257578927934026</v>
      </c>
      <c r="O86" s="12"/>
      <c r="P86" s="8">
        <v>164742.76999999999</v>
      </c>
      <c r="Q86" s="3"/>
      <c r="R86" s="7">
        <f t="shared" si="16"/>
        <v>2.0548472183917088E-2</v>
      </c>
      <c r="S86" s="3"/>
      <c r="T86" s="8">
        <v>200765.75</v>
      </c>
      <c r="U86" s="3"/>
      <c r="V86" s="7">
        <f t="shared" si="17"/>
        <v>2.2074721385543825E-2</v>
      </c>
      <c r="W86" s="3"/>
      <c r="X86" s="8">
        <f t="shared" si="18"/>
        <v>-36022.98000000001</v>
      </c>
      <c r="Y86" s="3"/>
      <c r="Z86" s="7">
        <f t="shared" si="19"/>
        <v>-0.17942791536903088</v>
      </c>
    </row>
    <row r="87" spans="1:26" s="69" customFormat="1" ht="15" customHeight="1" outlineLevel="1" collapsed="1" x14ac:dyDescent="0.25">
      <c r="A87" s="26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22704.760000000002</v>
      </c>
      <c r="E87" s="2"/>
      <c r="F87" s="6">
        <f t="shared" si="12"/>
        <v>2.4049933889258298E-2</v>
      </c>
      <c r="G87" s="2"/>
      <c r="H87" s="2">
        <f>SUM(OSRRefH22_5x_0)</f>
        <v>22583</v>
      </c>
      <c r="I87" s="2"/>
      <c r="J87" s="6">
        <f t="shared" si="13"/>
        <v>5.3363863427452037E-2</v>
      </c>
      <c r="K87" s="2"/>
      <c r="L87" s="2">
        <f t="shared" si="14"/>
        <v>121.76000000000204</v>
      </c>
      <c r="M87" s="2"/>
      <c r="N87" s="6">
        <f t="shared" si="15"/>
        <v>5.3916662976576206E-3</v>
      </c>
      <c r="O87" s="14"/>
      <c r="P87" s="2">
        <f>SUM(OSRRefP22_5x_0)</f>
        <v>372201.24</v>
      </c>
      <c r="Q87" s="2"/>
      <c r="R87" s="6">
        <f t="shared" si="16"/>
        <v>4.6424901238211844E-2</v>
      </c>
      <c r="S87" s="2"/>
      <c r="T87" s="2">
        <f>SUM(OSRRefT22_5x_0)</f>
        <v>370860</v>
      </c>
      <c r="U87" s="2"/>
      <c r="V87" s="6">
        <f t="shared" si="17"/>
        <v>4.0777030808505844E-2</v>
      </c>
      <c r="W87" s="2"/>
      <c r="X87" s="2">
        <f t="shared" si="18"/>
        <v>1341.2399999999907</v>
      </c>
      <c r="Y87" s="2"/>
      <c r="Z87" s="6">
        <f t="shared" si="19"/>
        <v>3.6165668985600782E-3</v>
      </c>
    </row>
    <row r="88" spans="1:26" s="70" customFormat="1" ht="15" hidden="1" customHeight="1" outlineLevel="2" x14ac:dyDescent="0.25">
      <c r="A88" s="25"/>
      <c r="B88" s="12" t="str">
        <f>CONCATENATE("          ","6321"," - ","BUILDING DEPRECIATION")</f>
        <v xml:space="preserve">          6321 - BUILDING DEPRECIATION</v>
      </c>
      <c r="C88" s="12"/>
      <c r="D88" s="8">
        <v>18402.22</v>
      </c>
      <c r="E88" s="3"/>
      <c r="F88" s="7">
        <f t="shared" si="12"/>
        <v>1.9492484149384835E-2</v>
      </c>
      <c r="G88" s="3"/>
      <c r="H88" s="8"/>
      <c r="I88" s="3"/>
      <c r="J88" s="7">
        <f t="shared" si="13"/>
        <v>0</v>
      </c>
      <c r="K88" s="3"/>
      <c r="L88" s="8">
        <f t="shared" si="14"/>
        <v>18402.22</v>
      </c>
      <c r="M88" s="3"/>
      <c r="N88" s="7">
        <f t="shared" si="15"/>
        <v>0</v>
      </c>
      <c r="O88" s="12"/>
      <c r="P88" s="8">
        <v>221683.16</v>
      </c>
      <c r="Q88" s="3"/>
      <c r="R88" s="7">
        <f t="shared" si="16"/>
        <v>2.7650683832151433E-2</v>
      </c>
      <c r="S88" s="3"/>
      <c r="T88" s="8"/>
      <c r="U88" s="3"/>
      <c r="V88" s="7">
        <f t="shared" si="17"/>
        <v>0</v>
      </c>
      <c r="W88" s="3"/>
      <c r="X88" s="8">
        <f t="shared" si="18"/>
        <v>221683.16</v>
      </c>
      <c r="Y88" s="3"/>
      <c r="Z88" s="7">
        <f t="shared" si="19"/>
        <v>0</v>
      </c>
    </row>
    <row r="89" spans="1:26" s="70" customFormat="1" ht="15" hidden="1" customHeight="1" outlineLevel="2" x14ac:dyDescent="0.25">
      <c r="A89" s="25"/>
      <c r="B89" s="12" t="str">
        <f>CONCATENATE("          ","6322"," - ","EQUIPMENT DEPRECIATION EXPENSE")</f>
        <v xml:space="preserve">          6322 - EQUIPMENT DEPRECIATION EXPENSE</v>
      </c>
      <c r="C89" s="12"/>
      <c r="D89" s="8">
        <v>4302.54</v>
      </c>
      <c r="E89" s="3"/>
      <c r="F89" s="7">
        <f t="shared" si="12"/>
        <v>4.5574497398734619E-3</v>
      </c>
      <c r="G89" s="3"/>
      <c r="H89" s="8">
        <v>22583</v>
      </c>
      <c r="I89" s="3"/>
      <c r="J89" s="7">
        <f t="shared" si="13"/>
        <v>5.3363863427452037E-2</v>
      </c>
      <c r="K89" s="3"/>
      <c r="L89" s="8">
        <f t="shared" si="14"/>
        <v>-18280.46</v>
      </c>
      <c r="M89" s="3"/>
      <c r="N89" s="7">
        <f t="shared" si="15"/>
        <v>-0.8094788114953726</v>
      </c>
      <c r="O89" s="12"/>
      <c r="P89" s="8">
        <v>150518.07999999999</v>
      </c>
      <c r="Q89" s="3"/>
      <c r="R89" s="7">
        <f t="shared" si="16"/>
        <v>1.8774217406060414E-2</v>
      </c>
      <c r="S89" s="3"/>
      <c r="T89" s="8">
        <v>370860</v>
      </c>
      <c r="U89" s="3"/>
      <c r="V89" s="7">
        <f t="shared" si="17"/>
        <v>4.0777030808505844E-2</v>
      </c>
      <c r="W89" s="3"/>
      <c r="X89" s="8">
        <f t="shared" si="18"/>
        <v>-220341.92</v>
      </c>
      <c r="Y89" s="3"/>
      <c r="Z89" s="7">
        <f t="shared" si="19"/>
        <v>-0.59413773391576341</v>
      </c>
    </row>
    <row r="90" spans="1:26" s="69" customFormat="1" ht="15" customHeight="1" outlineLevel="1" collapsed="1" x14ac:dyDescent="0.25">
      <c r="A90" s="26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-17.57</v>
      </c>
      <c r="E90" s="2"/>
      <c r="F90" s="6">
        <f t="shared" ref="F90:F121" si="20">IF(D$12=0,0,D90/D$12)</f>
        <v>-1.8610958161824581E-5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-17.57</v>
      </c>
      <c r="M90" s="2"/>
      <c r="N90" s="6">
        <f t="shared" ref="N90:N121" si="23">IF(H90=0,0,L90/H90)</f>
        <v>0</v>
      </c>
      <c r="O90" s="14"/>
      <c r="P90" s="2">
        <f>SUM(OSRRefP22_6x_0)</f>
        <v>1989.08</v>
      </c>
      <c r="Q90" s="2"/>
      <c r="R90" s="6">
        <f t="shared" ref="R90:R121" si="24">IF(P$12=0,0,P90/P$12)</f>
        <v>2.4809923404581463E-4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1989.08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25">
      <c r="A91" s="25"/>
      <c r="B91" s="12" t="str">
        <f>CONCATENATE("          ","6382"," - ","DISCOUNTS/MARK DOWNS")</f>
        <v xml:space="preserve">          6382 - DISCOUNTS/MARK DOWNS</v>
      </c>
      <c r="C91" s="12"/>
      <c r="D91" s="8"/>
      <c r="E91" s="3"/>
      <c r="F91" s="7">
        <f t="shared" si="20"/>
        <v>0</v>
      </c>
      <c r="G91" s="3"/>
      <c r="H91" s="8"/>
      <c r="I91" s="3"/>
      <c r="J91" s="7">
        <f t="shared" si="21"/>
        <v>0</v>
      </c>
      <c r="K91" s="3"/>
      <c r="L91" s="8">
        <f t="shared" si="22"/>
        <v>0</v>
      </c>
      <c r="M91" s="3"/>
      <c r="N91" s="7">
        <f t="shared" si="23"/>
        <v>0</v>
      </c>
      <c r="O91" s="12"/>
      <c r="P91" s="8">
        <v>2171.35</v>
      </c>
      <c r="Q91" s="3"/>
      <c r="R91" s="7">
        <f t="shared" si="24"/>
        <v>2.7083388895639168E-4</v>
      </c>
      <c r="S91" s="3"/>
      <c r="T91" s="8">
        <v>0</v>
      </c>
      <c r="U91" s="3"/>
      <c r="V91" s="7">
        <f t="shared" si="25"/>
        <v>0</v>
      </c>
      <c r="W91" s="3"/>
      <c r="X91" s="8">
        <f t="shared" si="26"/>
        <v>2171.35</v>
      </c>
      <c r="Y91" s="3"/>
      <c r="Z91" s="7">
        <f t="shared" si="27"/>
        <v>0</v>
      </c>
    </row>
    <row r="92" spans="1:26" s="70" customFormat="1" ht="15" hidden="1" customHeight="1" outlineLevel="2" x14ac:dyDescent="0.25">
      <c r="A92" s="25"/>
      <c r="B92" s="12" t="str">
        <f>CONCATENATE("          ","9175"," - ","EARNED DISCOUNTS")</f>
        <v xml:space="preserve">          9175 - EARNED DISCOUNTS</v>
      </c>
      <c r="C92" s="12"/>
      <c r="D92" s="8">
        <v>-17.57</v>
      </c>
      <c r="E92" s="3"/>
      <c r="F92" s="7">
        <f t="shared" si="20"/>
        <v>-1.8610958161824581E-5</v>
      </c>
      <c r="G92" s="3"/>
      <c r="H92" s="8"/>
      <c r="I92" s="3"/>
      <c r="J92" s="7">
        <f t="shared" si="21"/>
        <v>0</v>
      </c>
      <c r="K92" s="3"/>
      <c r="L92" s="8">
        <f t="shared" si="22"/>
        <v>-17.57</v>
      </c>
      <c r="M92" s="3"/>
      <c r="N92" s="7">
        <f t="shared" si="23"/>
        <v>0</v>
      </c>
      <c r="O92" s="12"/>
      <c r="P92" s="8">
        <v>-182.27</v>
      </c>
      <c r="Q92" s="3"/>
      <c r="R92" s="7">
        <f t="shared" si="24"/>
        <v>-2.2734654910577066E-5</v>
      </c>
      <c r="S92" s="3"/>
      <c r="T92" s="8"/>
      <c r="U92" s="3"/>
      <c r="V92" s="7">
        <f t="shared" si="25"/>
        <v>0</v>
      </c>
      <c r="W92" s="3"/>
      <c r="X92" s="8">
        <f t="shared" si="26"/>
        <v>-182.27</v>
      </c>
      <c r="Y92" s="3"/>
      <c r="Z92" s="7">
        <f t="shared" si="27"/>
        <v>0</v>
      </c>
    </row>
    <row r="93" spans="1:26" s="69" customFormat="1" ht="15" customHeight="1" outlineLevel="1" collapsed="1" x14ac:dyDescent="0.25">
      <c r="A93" s="26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132.07</v>
      </c>
      <c r="E93" s="2"/>
      <c r="F93" s="6">
        <f t="shared" si="20"/>
        <v>1.3989466388344748E-4</v>
      </c>
      <c r="G93" s="2"/>
      <c r="H93" s="2">
        <f>SUM(OSRRefH22_7x_0)</f>
        <v>1250</v>
      </c>
      <c r="I93" s="2"/>
      <c r="J93" s="6">
        <f t="shared" si="21"/>
        <v>2.9537629758807529E-3</v>
      </c>
      <c r="K93" s="2"/>
      <c r="L93" s="2">
        <f t="shared" si="22"/>
        <v>-1117.93</v>
      </c>
      <c r="M93" s="2"/>
      <c r="N93" s="6">
        <f t="shared" si="23"/>
        <v>-0.89434400000000003</v>
      </c>
      <c r="O93" s="14"/>
      <c r="P93" s="2">
        <f>SUM(OSRRefP22_7x_0)</f>
        <v>7438.87</v>
      </c>
      <c r="Q93" s="2"/>
      <c r="R93" s="6">
        <f t="shared" si="24"/>
        <v>9.2785506322842163E-4</v>
      </c>
      <c r="S93" s="2"/>
      <c r="T93" s="2">
        <f>SUM(OSRRefT22_7x_0)</f>
        <v>13750</v>
      </c>
      <c r="U93" s="2"/>
      <c r="V93" s="6">
        <f t="shared" si="25"/>
        <v>1.5118486049100885E-3</v>
      </c>
      <c r="W93" s="2"/>
      <c r="X93" s="2">
        <f t="shared" si="26"/>
        <v>-6311.13</v>
      </c>
      <c r="Y93" s="2"/>
      <c r="Z93" s="6">
        <f t="shared" si="27"/>
        <v>-0.45899127272727275</v>
      </c>
    </row>
    <row r="94" spans="1:26" s="70" customFormat="1" ht="15" hidden="1" customHeight="1" outlineLevel="2" x14ac:dyDescent="0.25">
      <c r="A94" s="25"/>
      <c r="B94" s="12" t="str">
        <f>CONCATENATE("          ","6399"," - ","DONATION-ON CAMPUS")</f>
        <v xml:space="preserve">          6399 - DONATION-ON CAMPUS</v>
      </c>
      <c r="C94" s="12"/>
      <c r="D94" s="8">
        <v>132.07</v>
      </c>
      <c r="E94" s="3"/>
      <c r="F94" s="7">
        <f t="shared" si="20"/>
        <v>1.3989466388344748E-4</v>
      </c>
      <c r="G94" s="3"/>
      <c r="H94" s="8">
        <v>1250</v>
      </c>
      <c r="I94" s="3"/>
      <c r="J94" s="7">
        <f t="shared" si="21"/>
        <v>2.9537629758807529E-3</v>
      </c>
      <c r="K94" s="3"/>
      <c r="L94" s="8">
        <f t="shared" si="22"/>
        <v>-1117.93</v>
      </c>
      <c r="M94" s="3"/>
      <c r="N94" s="7">
        <f t="shared" si="23"/>
        <v>-0.89434400000000003</v>
      </c>
      <c r="O94" s="12"/>
      <c r="P94" s="8">
        <v>7438.87</v>
      </c>
      <c r="Q94" s="3"/>
      <c r="R94" s="7">
        <f t="shared" si="24"/>
        <v>9.2785506322842163E-4</v>
      </c>
      <c r="S94" s="3"/>
      <c r="T94" s="8">
        <v>13750</v>
      </c>
      <c r="U94" s="3"/>
      <c r="V94" s="7">
        <f t="shared" si="25"/>
        <v>1.5118486049100885E-3</v>
      </c>
      <c r="W94" s="3"/>
      <c r="X94" s="8">
        <f t="shared" si="26"/>
        <v>-6311.13</v>
      </c>
      <c r="Y94" s="3"/>
      <c r="Z94" s="7">
        <f t="shared" si="27"/>
        <v>-0.45899127272727275</v>
      </c>
    </row>
    <row r="95" spans="1:26" s="69" customFormat="1" ht="15" customHeight="1" outlineLevel="1" collapsed="1" x14ac:dyDescent="0.25">
      <c r="A95" s="26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37.700000000000003</v>
      </c>
      <c r="E95" s="2"/>
      <c r="F95" s="6">
        <f t="shared" si="20"/>
        <v>3.9933586949390253E-5</v>
      </c>
      <c r="G95" s="2"/>
      <c r="H95" s="2">
        <f>SUM(OSRRefH22_8x_0)</f>
        <v>275</v>
      </c>
      <c r="I95" s="2"/>
      <c r="J95" s="6">
        <f t="shared" si="21"/>
        <v>6.498278546937657E-4</v>
      </c>
      <c r="K95" s="2"/>
      <c r="L95" s="2">
        <f t="shared" si="22"/>
        <v>-237.3</v>
      </c>
      <c r="M95" s="2"/>
      <c r="N95" s="6">
        <f t="shared" si="23"/>
        <v>-0.86290909090909096</v>
      </c>
      <c r="O95" s="14"/>
      <c r="P95" s="2">
        <f>SUM(OSRRefP22_8x_0)</f>
        <v>4357.58</v>
      </c>
      <c r="Q95" s="2"/>
      <c r="R95" s="6">
        <f t="shared" si="24"/>
        <v>5.4352376993050094E-4</v>
      </c>
      <c r="S95" s="2"/>
      <c r="T95" s="2">
        <f>SUM(OSRRefT22_8x_0)</f>
        <v>2575</v>
      </c>
      <c r="U95" s="2"/>
      <c r="V95" s="6">
        <f t="shared" si="25"/>
        <v>2.8312801146498017E-4</v>
      </c>
      <c r="W95" s="2"/>
      <c r="X95" s="2">
        <f t="shared" si="26"/>
        <v>1782.58</v>
      </c>
      <c r="Y95" s="2"/>
      <c r="Z95" s="6">
        <f t="shared" si="27"/>
        <v>0.69226407766990283</v>
      </c>
    </row>
    <row r="96" spans="1:26" s="70" customFormat="1" ht="15" hidden="1" customHeight="1" outlineLevel="2" x14ac:dyDescent="0.25">
      <c r="A96" s="25"/>
      <c r="B96" s="12" t="str">
        <f>CONCATENATE("          ","6277"," - ","EMPLOYEE APPRECIATION")</f>
        <v xml:space="preserve">          6277 - EMPLOYEE APPRECIATION</v>
      </c>
      <c r="C96" s="12"/>
      <c r="D96" s="8">
        <v>37.700000000000003</v>
      </c>
      <c r="E96" s="3"/>
      <c r="F96" s="7">
        <f t="shared" si="20"/>
        <v>3.9933586949390253E-5</v>
      </c>
      <c r="G96" s="3"/>
      <c r="H96" s="8">
        <v>275</v>
      </c>
      <c r="I96" s="3"/>
      <c r="J96" s="7">
        <f t="shared" si="21"/>
        <v>6.498278546937657E-4</v>
      </c>
      <c r="K96" s="3"/>
      <c r="L96" s="8">
        <f t="shared" si="22"/>
        <v>-237.3</v>
      </c>
      <c r="M96" s="3"/>
      <c r="N96" s="7">
        <f t="shared" si="23"/>
        <v>-0.86290909090909096</v>
      </c>
      <c r="O96" s="12"/>
      <c r="P96" s="8">
        <v>4357.58</v>
      </c>
      <c r="Q96" s="3"/>
      <c r="R96" s="7">
        <f t="shared" si="24"/>
        <v>5.4352376993050094E-4</v>
      </c>
      <c r="S96" s="3"/>
      <c r="T96" s="8">
        <v>2575</v>
      </c>
      <c r="U96" s="3"/>
      <c r="V96" s="7">
        <f t="shared" si="25"/>
        <v>2.8312801146498017E-4</v>
      </c>
      <c r="W96" s="3"/>
      <c r="X96" s="8">
        <f t="shared" si="26"/>
        <v>1782.58</v>
      </c>
      <c r="Y96" s="3"/>
      <c r="Z96" s="7">
        <f t="shared" si="27"/>
        <v>0.69226407766990283</v>
      </c>
    </row>
    <row r="97" spans="1:26" s="69" customFormat="1" ht="15" customHeight="1" outlineLevel="1" collapsed="1" x14ac:dyDescent="0.25">
      <c r="A97" s="26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1712.05</v>
      </c>
      <c r="E97" s="2"/>
      <c r="F97" s="6">
        <f t="shared" si="20"/>
        <v>1.813482693281262E-3</v>
      </c>
      <c r="G97" s="2"/>
      <c r="H97" s="2">
        <f>SUM(OSRRefH22_9x_0)</f>
        <v>1876</v>
      </c>
      <c r="I97" s="2"/>
      <c r="J97" s="6">
        <f t="shared" si="21"/>
        <v>4.4330074742018341E-3</v>
      </c>
      <c r="K97" s="2"/>
      <c r="L97" s="2">
        <f t="shared" si="22"/>
        <v>-163.95000000000005</v>
      </c>
      <c r="M97" s="2"/>
      <c r="N97" s="6">
        <f t="shared" si="23"/>
        <v>-8.739339019189768E-2</v>
      </c>
      <c r="O97" s="14"/>
      <c r="P97" s="2">
        <f>SUM(OSRRefP22_9x_0)</f>
        <v>17540.36</v>
      </c>
      <c r="Q97" s="2"/>
      <c r="R97" s="6">
        <f t="shared" si="24"/>
        <v>2.1878204400465769E-3</v>
      </c>
      <c r="S97" s="2"/>
      <c r="T97" s="2">
        <f>SUM(OSRRefT22_9x_0)</f>
        <v>20436</v>
      </c>
      <c r="U97" s="2"/>
      <c r="V97" s="6">
        <f t="shared" si="25"/>
        <v>2.2469918610867321E-3</v>
      </c>
      <c r="W97" s="2"/>
      <c r="X97" s="2">
        <f t="shared" si="26"/>
        <v>-2895.6399999999994</v>
      </c>
      <c r="Y97" s="2"/>
      <c r="Z97" s="6">
        <f t="shared" si="27"/>
        <v>-0.14169309062438831</v>
      </c>
    </row>
    <row r="98" spans="1:26" s="70" customFormat="1" ht="15" hidden="1" customHeight="1" outlineLevel="2" x14ac:dyDescent="0.25">
      <c r="A98" s="25"/>
      <c r="B98" s="12" t="str">
        <f>CONCATENATE("          ","6351"," - ","EQUIPMENT RENTAL")</f>
        <v xml:space="preserve">          6351 - EQUIPMENT RENTAL</v>
      </c>
      <c r="C98" s="12"/>
      <c r="D98" s="8">
        <v>1712.05</v>
      </c>
      <c r="E98" s="3"/>
      <c r="F98" s="7">
        <f t="shared" si="20"/>
        <v>1.813482693281262E-3</v>
      </c>
      <c r="G98" s="3"/>
      <c r="H98" s="8">
        <v>1876</v>
      </c>
      <c r="I98" s="3"/>
      <c r="J98" s="7">
        <f t="shared" si="21"/>
        <v>4.4330074742018341E-3</v>
      </c>
      <c r="K98" s="3"/>
      <c r="L98" s="8">
        <f t="shared" si="22"/>
        <v>-163.95000000000005</v>
      </c>
      <c r="M98" s="3"/>
      <c r="N98" s="7">
        <f t="shared" si="23"/>
        <v>-8.739339019189768E-2</v>
      </c>
      <c r="O98" s="12"/>
      <c r="P98" s="8">
        <v>17540.36</v>
      </c>
      <c r="Q98" s="3"/>
      <c r="R98" s="7">
        <f t="shared" si="24"/>
        <v>2.1878204400465769E-3</v>
      </c>
      <c r="S98" s="3"/>
      <c r="T98" s="8">
        <v>20436</v>
      </c>
      <c r="U98" s="3"/>
      <c r="V98" s="7">
        <f t="shared" si="25"/>
        <v>2.2469918610867321E-3</v>
      </c>
      <c r="W98" s="3"/>
      <c r="X98" s="8">
        <f t="shared" si="26"/>
        <v>-2895.6399999999994</v>
      </c>
      <c r="Y98" s="3"/>
      <c r="Z98" s="7">
        <f t="shared" si="27"/>
        <v>-0.14169309062438831</v>
      </c>
    </row>
    <row r="99" spans="1:26" s="69" customFormat="1" ht="15" customHeight="1" outlineLevel="1" collapsed="1" x14ac:dyDescent="0.25">
      <c r="A99" s="26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-1240.0600000000004</v>
      </c>
      <c r="E99" s="2"/>
      <c r="F99" s="6">
        <f t="shared" si="20"/>
        <v>-1.313529014123631E-3</v>
      </c>
      <c r="G99" s="2"/>
      <c r="H99" s="2">
        <f>SUM(OSRRefH22_10x_0)</f>
        <v>-1850</v>
      </c>
      <c r="I99" s="2"/>
      <c r="J99" s="6">
        <f t="shared" si="21"/>
        <v>-4.3715692043035147E-3</v>
      </c>
      <c r="K99" s="2"/>
      <c r="L99" s="2">
        <f t="shared" si="22"/>
        <v>609.9399999999996</v>
      </c>
      <c r="M99" s="2"/>
      <c r="N99" s="6">
        <f t="shared" si="23"/>
        <v>-0.32969729729729708</v>
      </c>
      <c r="O99" s="14"/>
      <c r="P99" s="2">
        <f>SUM(OSRRefP22_10x_0)</f>
        <v>-45218.649999999994</v>
      </c>
      <c r="Q99" s="2"/>
      <c r="R99" s="6">
        <f t="shared" si="24"/>
        <v>-5.6401514416643747E-3</v>
      </c>
      <c r="S99" s="2"/>
      <c r="T99" s="2">
        <f>SUM(OSRRefT22_10x_0)</f>
        <v>-14050</v>
      </c>
      <c r="U99" s="2"/>
      <c r="V99" s="6">
        <f t="shared" si="25"/>
        <v>-1.5448343926535812E-3</v>
      </c>
      <c r="W99" s="2"/>
      <c r="X99" s="2">
        <f t="shared" si="26"/>
        <v>-31168.649999999994</v>
      </c>
      <c r="Y99" s="2"/>
      <c r="Z99" s="6">
        <f t="shared" si="27"/>
        <v>2.2184092526690389</v>
      </c>
    </row>
    <row r="100" spans="1:26" s="70" customFormat="1" ht="15" hidden="1" customHeight="1" outlineLevel="2" x14ac:dyDescent="0.25">
      <c r="A100" s="25"/>
      <c r="B100" s="12" t="str">
        <f>CONCATENATE("          ","6305"," - ","FREIGHT OUT")</f>
        <v xml:space="preserve">          6305 - FREIGHT OUT</v>
      </c>
      <c r="C100" s="12"/>
      <c r="D100" s="8">
        <v>8082.94</v>
      </c>
      <c r="E100" s="3"/>
      <c r="F100" s="7">
        <f t="shared" si="20"/>
        <v>8.5618245967295607E-3</v>
      </c>
      <c r="G100" s="3"/>
      <c r="H100" s="8">
        <v>2550</v>
      </c>
      <c r="I100" s="3"/>
      <c r="J100" s="7">
        <f t="shared" si="21"/>
        <v>6.0256764707967364E-3</v>
      </c>
      <c r="K100" s="3"/>
      <c r="L100" s="8">
        <f t="shared" si="22"/>
        <v>5532.94</v>
      </c>
      <c r="M100" s="3"/>
      <c r="N100" s="7">
        <f t="shared" si="23"/>
        <v>2.1697803921568628</v>
      </c>
      <c r="O100" s="12"/>
      <c r="P100" s="8">
        <v>134420.12</v>
      </c>
      <c r="Q100" s="3"/>
      <c r="R100" s="7">
        <f t="shared" si="24"/>
        <v>1.6766308450311945E-2</v>
      </c>
      <c r="S100" s="3"/>
      <c r="T100" s="8">
        <v>154850</v>
      </c>
      <c r="U100" s="3"/>
      <c r="V100" s="7">
        <f t="shared" si="25"/>
        <v>1.7026164106932886E-2</v>
      </c>
      <c r="W100" s="3"/>
      <c r="X100" s="8">
        <f t="shared" si="26"/>
        <v>-20429.880000000005</v>
      </c>
      <c r="Y100" s="3"/>
      <c r="Z100" s="7">
        <f t="shared" si="27"/>
        <v>-0.13193335485954152</v>
      </c>
    </row>
    <row r="101" spans="1:26" s="70" customFormat="1" ht="15" hidden="1" customHeight="1" outlineLevel="2" x14ac:dyDescent="0.25">
      <c r="A101" s="25"/>
      <c r="B101" s="12" t="str">
        <f>CONCATENATE("          ","6307"," - ","POSTAGE")</f>
        <v xml:space="preserve">          6307 - POSTAGE</v>
      </c>
      <c r="C101" s="12"/>
      <c r="D101" s="8">
        <v>-9323</v>
      </c>
      <c r="E101" s="3"/>
      <c r="F101" s="7">
        <f t="shared" si="20"/>
        <v>-9.8753536108531909E-3</v>
      </c>
      <c r="G101" s="3"/>
      <c r="H101" s="8">
        <v>-4400</v>
      </c>
      <c r="I101" s="3"/>
      <c r="J101" s="7">
        <f t="shared" si="21"/>
        <v>-1.0397245675100251E-2</v>
      </c>
      <c r="K101" s="3"/>
      <c r="L101" s="8">
        <f t="shared" si="22"/>
        <v>-4923</v>
      </c>
      <c r="M101" s="3"/>
      <c r="N101" s="7">
        <f t="shared" si="23"/>
        <v>1.1188636363636364</v>
      </c>
      <c r="O101" s="12"/>
      <c r="P101" s="8">
        <v>-179638.77</v>
      </c>
      <c r="Q101" s="3"/>
      <c r="R101" s="7">
        <f t="shared" si="24"/>
        <v>-2.2406459891976319E-2</v>
      </c>
      <c r="S101" s="3"/>
      <c r="T101" s="8">
        <v>-168900</v>
      </c>
      <c r="U101" s="3"/>
      <c r="V101" s="7">
        <f t="shared" si="25"/>
        <v>-1.8570998499586468E-2</v>
      </c>
      <c r="W101" s="3"/>
      <c r="X101" s="8">
        <f t="shared" si="26"/>
        <v>-10738.76999999999</v>
      </c>
      <c r="Y101" s="3"/>
      <c r="Z101" s="7">
        <f t="shared" si="27"/>
        <v>6.3580639431616279E-2</v>
      </c>
    </row>
    <row r="102" spans="1:26" s="69" customFormat="1" ht="15" customHeight="1" outlineLevel="1" collapsed="1" x14ac:dyDescent="0.25">
      <c r="A102" s="26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302.24</v>
      </c>
      <c r="E102" s="2"/>
      <c r="F102" s="6">
        <f t="shared" si="20"/>
        <v>3.2014661325155728E-4</v>
      </c>
      <c r="G102" s="2"/>
      <c r="H102" s="2">
        <f>SUM(OSRRefH22_11x_0)</f>
        <v>950</v>
      </c>
      <c r="I102" s="2"/>
      <c r="J102" s="6">
        <f t="shared" si="21"/>
        <v>2.2448598616693722E-3</v>
      </c>
      <c r="K102" s="2"/>
      <c r="L102" s="2">
        <f t="shared" si="22"/>
        <v>-647.76</v>
      </c>
      <c r="M102" s="2"/>
      <c r="N102" s="6">
        <f t="shared" si="23"/>
        <v>-0.68185263157894738</v>
      </c>
      <c r="O102" s="14"/>
      <c r="P102" s="2">
        <f>SUM(OSRRefP22_11x_0)</f>
        <v>10504.21</v>
      </c>
      <c r="Q102" s="2"/>
      <c r="R102" s="6">
        <f t="shared" si="24"/>
        <v>1.3101969027170281E-3</v>
      </c>
      <c r="S102" s="2"/>
      <c r="T102" s="2">
        <f>SUM(OSRRefT22_11x_0)</f>
        <v>7410</v>
      </c>
      <c r="U102" s="2"/>
      <c r="V102" s="6">
        <f t="shared" si="25"/>
        <v>8.1474895726427307E-4</v>
      </c>
      <c r="W102" s="2"/>
      <c r="X102" s="2">
        <f t="shared" si="26"/>
        <v>3094.2099999999991</v>
      </c>
      <c r="Y102" s="2"/>
      <c r="Z102" s="6">
        <f t="shared" si="27"/>
        <v>0.41757219973009435</v>
      </c>
    </row>
    <row r="103" spans="1:26" s="70" customFormat="1" ht="15" hidden="1" customHeight="1" outlineLevel="2" x14ac:dyDescent="0.25">
      <c r="A103" s="25"/>
      <c r="B103" s="12" t="str">
        <f>CONCATENATE("          ","6276"," - ","PROPERTY TAX")</f>
        <v xml:space="preserve">          6276 - PROPERTY TAX</v>
      </c>
      <c r="C103" s="12"/>
      <c r="D103" s="8"/>
      <c r="E103" s="3"/>
      <c r="F103" s="7">
        <f t="shared" si="20"/>
        <v>0</v>
      </c>
      <c r="G103" s="3"/>
      <c r="H103" s="8"/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/>
      <c r="Q103" s="3"/>
      <c r="R103" s="7">
        <f t="shared" si="24"/>
        <v>0</v>
      </c>
      <c r="S103" s="3"/>
      <c r="T103" s="8">
        <v>1250</v>
      </c>
      <c r="U103" s="3"/>
      <c r="V103" s="7">
        <f t="shared" si="25"/>
        <v>1.3744078226455349E-4</v>
      </c>
      <c r="W103" s="3"/>
      <c r="X103" s="8">
        <f t="shared" si="26"/>
        <v>-1250</v>
      </c>
      <c r="Y103" s="3"/>
      <c r="Z103" s="7">
        <f t="shared" si="27"/>
        <v>-1</v>
      </c>
    </row>
    <row r="104" spans="1:26" s="70" customFormat="1" ht="15" hidden="1" customHeight="1" outlineLevel="2" x14ac:dyDescent="0.25">
      <c r="A104" s="25"/>
      <c r="B104" s="12" t="str">
        <f>CONCATENATE("          ","6279"," - ","GENERAL EXPENSE")</f>
        <v xml:space="preserve">          6279 - GENERAL EXPENSE</v>
      </c>
      <c r="C104" s="12"/>
      <c r="D104" s="8">
        <v>302.24</v>
      </c>
      <c r="E104" s="3"/>
      <c r="F104" s="7">
        <f t="shared" si="20"/>
        <v>3.2014661325155728E-4</v>
      </c>
      <c r="G104" s="3"/>
      <c r="H104" s="8">
        <v>950</v>
      </c>
      <c r="I104" s="3"/>
      <c r="J104" s="7">
        <f t="shared" si="21"/>
        <v>2.2448598616693722E-3</v>
      </c>
      <c r="K104" s="3"/>
      <c r="L104" s="8">
        <f t="shared" si="22"/>
        <v>-647.76</v>
      </c>
      <c r="M104" s="3"/>
      <c r="N104" s="7">
        <f t="shared" si="23"/>
        <v>-0.68185263157894738</v>
      </c>
      <c r="O104" s="12"/>
      <c r="P104" s="8">
        <v>10504.21</v>
      </c>
      <c r="Q104" s="3"/>
      <c r="R104" s="7">
        <f t="shared" si="24"/>
        <v>1.3101969027170281E-3</v>
      </c>
      <c r="S104" s="3"/>
      <c r="T104" s="8">
        <v>6160</v>
      </c>
      <c r="U104" s="3"/>
      <c r="V104" s="7">
        <f t="shared" si="25"/>
        <v>6.7730817499971963E-4</v>
      </c>
      <c r="W104" s="3"/>
      <c r="X104" s="8">
        <f t="shared" si="26"/>
        <v>4344.2099999999991</v>
      </c>
      <c r="Y104" s="3"/>
      <c r="Z104" s="7">
        <f t="shared" si="27"/>
        <v>0.70522889610389594</v>
      </c>
    </row>
    <row r="105" spans="1:26" s="69" customFormat="1" ht="15" customHeight="1" outlineLevel="1" collapsed="1" x14ac:dyDescent="0.25">
      <c r="A105" s="26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5825.58</v>
      </c>
      <c r="E105" s="2"/>
      <c r="F105" s="6">
        <f t="shared" si="20"/>
        <v>6.1707242827753013E-3</v>
      </c>
      <c r="G105" s="2"/>
      <c r="H105" s="2">
        <f>SUM(OSRRefH22_12x_0)</f>
        <v>5705</v>
      </c>
      <c r="I105" s="2"/>
      <c r="J105" s="6">
        <f t="shared" si="21"/>
        <v>1.3480974221919757E-2</v>
      </c>
      <c r="K105" s="2"/>
      <c r="L105" s="2">
        <f t="shared" si="22"/>
        <v>120.57999999999993</v>
      </c>
      <c r="M105" s="2"/>
      <c r="N105" s="6">
        <f t="shared" si="23"/>
        <v>2.1135845749342668E-2</v>
      </c>
      <c r="O105" s="14"/>
      <c r="P105" s="2">
        <f>SUM(OSRRefP22_12x_0)</f>
        <v>64081.38</v>
      </c>
      <c r="Q105" s="2"/>
      <c r="R105" s="6">
        <f t="shared" si="24"/>
        <v>7.9929119465274312E-3</v>
      </c>
      <c r="S105" s="2"/>
      <c r="T105" s="2">
        <f>SUM(OSRRefT22_12x_0)</f>
        <v>62755</v>
      </c>
      <c r="U105" s="2"/>
      <c r="V105" s="6">
        <f t="shared" si="25"/>
        <v>6.900077032809644E-3</v>
      </c>
      <c r="W105" s="2"/>
      <c r="X105" s="2">
        <f t="shared" si="26"/>
        <v>1326.3799999999974</v>
      </c>
      <c r="Y105" s="2"/>
      <c r="Z105" s="6">
        <f t="shared" si="27"/>
        <v>2.113584574934264E-2</v>
      </c>
    </row>
    <row r="106" spans="1:26" s="70" customFormat="1" ht="15" hidden="1" customHeight="1" outlineLevel="2" x14ac:dyDescent="0.25">
      <c r="A106" s="25"/>
      <c r="B106" s="12" t="str">
        <f>CONCATENATE("          ","6314"," - ","LIABILITY INSURANCE")</f>
        <v xml:space="preserve">          6314 - LIABILITY INSURANCE</v>
      </c>
      <c r="C106" s="12"/>
      <c r="D106" s="8">
        <v>5825.58</v>
      </c>
      <c r="E106" s="3"/>
      <c r="F106" s="7">
        <f t="shared" si="20"/>
        <v>6.1707242827753013E-3</v>
      </c>
      <c r="G106" s="3"/>
      <c r="H106" s="8">
        <v>5705</v>
      </c>
      <c r="I106" s="3"/>
      <c r="J106" s="7">
        <f t="shared" si="21"/>
        <v>1.3480974221919757E-2</v>
      </c>
      <c r="K106" s="3"/>
      <c r="L106" s="8">
        <f t="shared" si="22"/>
        <v>120.57999999999993</v>
      </c>
      <c r="M106" s="3"/>
      <c r="N106" s="7">
        <f t="shared" si="23"/>
        <v>2.1135845749342668E-2</v>
      </c>
      <c r="O106" s="12"/>
      <c r="P106" s="8">
        <v>64081.38</v>
      </c>
      <c r="Q106" s="3"/>
      <c r="R106" s="7">
        <f t="shared" si="24"/>
        <v>7.9929119465274312E-3</v>
      </c>
      <c r="S106" s="3"/>
      <c r="T106" s="8">
        <v>62755</v>
      </c>
      <c r="U106" s="3"/>
      <c r="V106" s="7">
        <f t="shared" si="25"/>
        <v>6.900077032809644E-3</v>
      </c>
      <c r="W106" s="3"/>
      <c r="X106" s="8">
        <f t="shared" si="26"/>
        <v>1326.3799999999974</v>
      </c>
      <c r="Y106" s="3"/>
      <c r="Z106" s="7">
        <f t="shared" si="27"/>
        <v>2.113584574934264E-2</v>
      </c>
    </row>
    <row r="107" spans="1:26" s="69" customFormat="1" ht="15" customHeight="1" outlineLevel="1" collapsed="1" x14ac:dyDescent="0.25">
      <c r="A107" s="26"/>
      <c r="B107" s="14" t="str">
        <f>CONCATENATE("     ","Interest                                          ")</f>
        <v xml:space="preserve">     Interest                                          </v>
      </c>
      <c r="C107" s="14"/>
      <c r="D107" s="2">
        <f>SUM(OSRRefD22_13x_0)</f>
        <v>3905</v>
      </c>
      <c r="E107" s="2"/>
      <c r="F107" s="6">
        <f t="shared" si="20"/>
        <v>4.13635695059334E-3</v>
      </c>
      <c r="G107" s="2"/>
      <c r="H107" s="2">
        <f>SUM(OSRRefH22_13x_0)</f>
        <v>3760</v>
      </c>
      <c r="I107" s="2"/>
      <c r="J107" s="6">
        <f t="shared" si="21"/>
        <v>8.8849190314493048E-3</v>
      </c>
      <c r="K107" s="2"/>
      <c r="L107" s="2">
        <f t="shared" si="22"/>
        <v>145</v>
      </c>
      <c r="M107" s="2"/>
      <c r="N107" s="6">
        <f t="shared" si="23"/>
        <v>3.8563829787234043E-2</v>
      </c>
      <c r="O107" s="14"/>
      <c r="P107" s="2">
        <f>SUM(OSRRefP22_13x_0)</f>
        <v>41805</v>
      </c>
      <c r="Q107" s="2"/>
      <c r="R107" s="6">
        <f t="shared" si="24"/>
        <v>5.2143646707449075E-3</v>
      </c>
      <c r="S107" s="2"/>
      <c r="T107" s="2">
        <f>SUM(OSRRefT22_13x_0)</f>
        <v>42810</v>
      </c>
      <c r="U107" s="2"/>
      <c r="V107" s="6">
        <f t="shared" si="25"/>
        <v>4.7070719109964278E-3</v>
      </c>
      <c r="W107" s="2"/>
      <c r="X107" s="2">
        <f t="shared" si="26"/>
        <v>-1005</v>
      </c>
      <c r="Y107" s="2"/>
      <c r="Z107" s="6">
        <f t="shared" si="27"/>
        <v>-2.3475823405746322E-2</v>
      </c>
    </row>
    <row r="108" spans="1:26" s="70" customFormat="1" ht="15" hidden="1" customHeight="1" outlineLevel="2" x14ac:dyDescent="0.25">
      <c r="A108" s="25"/>
      <c r="B108" s="12" t="str">
        <f>CONCATENATE("          ","6401"," - ","INTEREST EXPENSE")</f>
        <v xml:space="preserve">          6401 - INTEREST EXPENSE</v>
      </c>
      <c r="C108" s="12"/>
      <c r="D108" s="8">
        <v>3905</v>
      </c>
      <c r="E108" s="3"/>
      <c r="F108" s="7">
        <f t="shared" si="20"/>
        <v>4.13635695059334E-3</v>
      </c>
      <c r="G108" s="3"/>
      <c r="H108" s="8">
        <v>3760</v>
      </c>
      <c r="I108" s="3"/>
      <c r="J108" s="7">
        <f t="shared" si="21"/>
        <v>8.8849190314493048E-3</v>
      </c>
      <c r="K108" s="3"/>
      <c r="L108" s="8">
        <f t="shared" si="22"/>
        <v>145</v>
      </c>
      <c r="M108" s="3"/>
      <c r="N108" s="7">
        <f t="shared" si="23"/>
        <v>3.8563829787234043E-2</v>
      </c>
      <c r="O108" s="12"/>
      <c r="P108" s="8">
        <v>41805</v>
      </c>
      <c r="Q108" s="3"/>
      <c r="R108" s="7">
        <f t="shared" si="24"/>
        <v>5.2143646707449075E-3</v>
      </c>
      <c r="S108" s="3"/>
      <c r="T108" s="8">
        <v>42810</v>
      </c>
      <c r="U108" s="3"/>
      <c r="V108" s="7">
        <f t="shared" si="25"/>
        <v>4.7070719109964278E-3</v>
      </c>
      <c r="W108" s="3"/>
      <c r="X108" s="8">
        <f t="shared" si="26"/>
        <v>-1005</v>
      </c>
      <c r="Y108" s="3"/>
      <c r="Z108" s="7">
        <f t="shared" si="27"/>
        <v>-2.3475823405746322E-2</v>
      </c>
    </row>
    <row r="109" spans="1:26" s="69" customFormat="1" ht="15" customHeight="1" outlineLevel="1" collapsed="1" x14ac:dyDescent="0.25">
      <c r="A109" s="26"/>
      <c r="B109" s="14" t="str">
        <f>CONCATENATE("     ","Inventory Adjustment                              ")</f>
        <v xml:space="preserve">     Inventory Adjustment                              </v>
      </c>
      <c r="C109" s="14"/>
      <c r="D109" s="2">
        <f>SUM(OSRRefD22_14x_0)</f>
        <v>5100</v>
      </c>
      <c r="E109" s="2"/>
      <c r="F109" s="6">
        <f t="shared" si="20"/>
        <v>5.4021563247185749E-3</v>
      </c>
      <c r="G109" s="2"/>
      <c r="H109" s="2">
        <f>SUM(OSRRefH22_14x_0)</f>
        <v>5100</v>
      </c>
      <c r="I109" s="2"/>
      <c r="J109" s="6">
        <f t="shared" si="21"/>
        <v>1.2051352941593473E-2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SUM(OSRRefP22_14x_0)</f>
        <v>60100</v>
      </c>
      <c r="Q109" s="2"/>
      <c r="R109" s="6">
        <f t="shared" si="24"/>
        <v>7.4963118457545492E-3</v>
      </c>
      <c r="S109" s="2"/>
      <c r="T109" s="2">
        <f>SUM(OSRRefT22_14x_0)</f>
        <v>60100</v>
      </c>
      <c r="U109" s="2"/>
      <c r="V109" s="6">
        <f t="shared" si="25"/>
        <v>6.6081528112797317E-3</v>
      </c>
      <c r="W109" s="2"/>
      <c r="X109" s="2">
        <f t="shared" si="26"/>
        <v>0</v>
      </c>
      <c r="Y109" s="2"/>
      <c r="Z109" s="6">
        <f t="shared" si="27"/>
        <v>0</v>
      </c>
    </row>
    <row r="110" spans="1:26" s="70" customFormat="1" ht="15" hidden="1" customHeight="1" outlineLevel="2" x14ac:dyDescent="0.25">
      <c r="A110" s="25"/>
      <c r="B110" s="12" t="str">
        <f>CONCATENATE("          ","6408"," - ","INVENTORY ADJUSTMENT")</f>
        <v xml:space="preserve">          6408 - INVENTORY ADJUSTMENT</v>
      </c>
      <c r="C110" s="12"/>
      <c r="D110" s="8">
        <v>5100</v>
      </c>
      <c r="E110" s="3"/>
      <c r="F110" s="7">
        <f t="shared" si="20"/>
        <v>5.4021563247185749E-3</v>
      </c>
      <c r="G110" s="3"/>
      <c r="H110" s="8">
        <v>5100</v>
      </c>
      <c r="I110" s="3"/>
      <c r="J110" s="7">
        <f t="shared" si="21"/>
        <v>1.2051352941593473E-2</v>
      </c>
      <c r="K110" s="3"/>
      <c r="L110" s="8">
        <f t="shared" si="22"/>
        <v>0</v>
      </c>
      <c r="M110" s="3"/>
      <c r="N110" s="7">
        <f t="shared" si="23"/>
        <v>0</v>
      </c>
      <c r="O110" s="12"/>
      <c r="P110" s="8">
        <v>60100</v>
      </c>
      <c r="Q110" s="3"/>
      <c r="R110" s="7">
        <f t="shared" si="24"/>
        <v>7.4963118457545492E-3</v>
      </c>
      <c r="S110" s="3"/>
      <c r="T110" s="8">
        <v>60100</v>
      </c>
      <c r="U110" s="3"/>
      <c r="V110" s="7">
        <f t="shared" si="25"/>
        <v>6.6081528112797317E-3</v>
      </c>
      <c r="W110" s="3"/>
      <c r="X110" s="8">
        <f t="shared" si="26"/>
        <v>0</v>
      </c>
      <c r="Y110" s="3"/>
      <c r="Z110" s="7">
        <f t="shared" si="27"/>
        <v>0</v>
      </c>
    </row>
    <row r="111" spans="1:26" s="69" customFormat="1" ht="15" customHeight="1" outlineLevel="1" collapsed="1" x14ac:dyDescent="0.25">
      <c r="A111" s="26"/>
      <c r="B111" s="14" t="str">
        <f>CONCATENATE("     ","Professional Services                             ")</f>
        <v xml:space="preserve">     Professional Services                             </v>
      </c>
      <c r="C111" s="14"/>
      <c r="D111" s="2">
        <f>SUM(OSRRefD22_15x_0)</f>
        <v>0</v>
      </c>
      <c r="E111" s="2"/>
      <c r="F111" s="6">
        <f t="shared" si="20"/>
        <v>0</v>
      </c>
      <c r="G111" s="2"/>
      <c r="H111" s="2">
        <f>SUM(OSRRefH22_15x_0)</f>
        <v>0</v>
      </c>
      <c r="I111" s="2"/>
      <c r="J111" s="6">
        <f t="shared" si="21"/>
        <v>0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SUM(OSRRefP22_15x_0)</f>
        <v>9626.5300000000007</v>
      </c>
      <c r="Q111" s="2"/>
      <c r="R111" s="6">
        <f t="shared" si="24"/>
        <v>1.2007233090268144E-3</v>
      </c>
      <c r="S111" s="2"/>
      <c r="T111" s="2">
        <f>SUM(OSRRefT22_15x_0)</f>
        <v>1750</v>
      </c>
      <c r="U111" s="2"/>
      <c r="V111" s="6">
        <f t="shared" si="25"/>
        <v>1.924170951703749E-4</v>
      </c>
      <c r="W111" s="2"/>
      <c r="X111" s="2">
        <f t="shared" si="26"/>
        <v>7876.5300000000007</v>
      </c>
      <c r="Y111" s="2"/>
      <c r="Z111" s="6">
        <f t="shared" si="27"/>
        <v>4.5008742857142865</v>
      </c>
    </row>
    <row r="112" spans="1:26" s="70" customFormat="1" ht="15" hidden="1" customHeight="1" outlineLevel="2" x14ac:dyDescent="0.25">
      <c r="A112" s="25"/>
      <c r="B112" s="12" t="str">
        <f>CONCATENATE("          ","6336"," - ","PROFESSIONAL SERVICES")</f>
        <v xml:space="preserve">          6336 - PROFESSIONAL SERVICES</v>
      </c>
      <c r="C112" s="12"/>
      <c r="D112" s="8"/>
      <c r="E112" s="3"/>
      <c r="F112" s="7">
        <f t="shared" si="20"/>
        <v>0</v>
      </c>
      <c r="G112" s="3"/>
      <c r="H112" s="8">
        <v>0</v>
      </c>
      <c r="I112" s="3"/>
      <c r="J112" s="7">
        <f t="shared" si="21"/>
        <v>0</v>
      </c>
      <c r="K112" s="3"/>
      <c r="L112" s="8">
        <f t="shared" si="22"/>
        <v>0</v>
      </c>
      <c r="M112" s="3"/>
      <c r="N112" s="7">
        <f t="shared" si="23"/>
        <v>0</v>
      </c>
      <c r="O112" s="12"/>
      <c r="P112" s="8">
        <v>9626.5300000000007</v>
      </c>
      <c r="Q112" s="3"/>
      <c r="R112" s="7">
        <f t="shared" si="24"/>
        <v>1.2007233090268144E-3</v>
      </c>
      <c r="S112" s="3"/>
      <c r="T112" s="8">
        <v>1750</v>
      </c>
      <c r="U112" s="3"/>
      <c r="V112" s="7">
        <f t="shared" si="25"/>
        <v>1.924170951703749E-4</v>
      </c>
      <c r="W112" s="3"/>
      <c r="X112" s="8">
        <f t="shared" si="26"/>
        <v>7876.5300000000007</v>
      </c>
      <c r="Y112" s="3"/>
      <c r="Z112" s="7">
        <f t="shared" si="27"/>
        <v>4.5008742857142865</v>
      </c>
    </row>
    <row r="113" spans="1:26" s="69" customFormat="1" ht="15" customHeight="1" outlineLevel="1" collapsed="1" x14ac:dyDescent="0.25">
      <c r="A113" s="26"/>
      <c r="B113" s="14" t="str">
        <f>CONCATENATE("     ","Rent                                              ")</f>
        <v xml:space="preserve">     Rent                                              </v>
      </c>
      <c r="C113" s="14"/>
      <c r="D113" s="2">
        <f>SUM(OSRRefD22_16x_0)</f>
        <v>6100</v>
      </c>
      <c r="E113" s="2"/>
      <c r="F113" s="6">
        <f t="shared" si="20"/>
        <v>6.461402662898688E-3</v>
      </c>
      <c r="G113" s="2"/>
      <c r="H113" s="2">
        <f>SUM(OSRRefH22_16x_0)</f>
        <v>6100</v>
      </c>
      <c r="I113" s="2"/>
      <c r="J113" s="6">
        <f t="shared" si="21"/>
        <v>1.4414363322298075E-2</v>
      </c>
      <c r="K113" s="2"/>
      <c r="L113" s="2">
        <f t="shared" si="22"/>
        <v>0</v>
      </c>
      <c r="M113" s="2"/>
      <c r="N113" s="6">
        <f t="shared" si="23"/>
        <v>0</v>
      </c>
      <c r="O113" s="14"/>
      <c r="P113" s="2">
        <f>SUM(OSRRefP22_16x_0)</f>
        <v>67100</v>
      </c>
      <c r="Q113" s="2"/>
      <c r="R113" s="6">
        <f t="shared" si="24"/>
        <v>8.3694263702184732E-3</v>
      </c>
      <c r="S113" s="2"/>
      <c r="T113" s="2">
        <f>SUM(OSRRefT22_16x_0)</f>
        <v>67100</v>
      </c>
      <c r="U113" s="2"/>
      <c r="V113" s="6">
        <f t="shared" si="25"/>
        <v>7.3778211919612313E-3</v>
      </c>
      <c r="W113" s="2"/>
      <c r="X113" s="2">
        <f t="shared" si="26"/>
        <v>0</v>
      </c>
      <c r="Y113" s="2"/>
      <c r="Z113" s="6">
        <f t="shared" si="27"/>
        <v>0</v>
      </c>
    </row>
    <row r="114" spans="1:26" s="70" customFormat="1" ht="15" hidden="1" customHeight="1" outlineLevel="2" x14ac:dyDescent="0.25">
      <c r="A114" s="25"/>
      <c r="B114" s="12" t="str">
        <f>CONCATENATE("          ","6273"," - ","RENT")</f>
        <v xml:space="preserve">          6273 - RENT</v>
      </c>
      <c r="C114" s="12"/>
      <c r="D114" s="8">
        <v>6100</v>
      </c>
      <c r="E114" s="3"/>
      <c r="F114" s="7">
        <f t="shared" si="20"/>
        <v>6.461402662898688E-3</v>
      </c>
      <c r="G114" s="3"/>
      <c r="H114" s="8">
        <v>6100</v>
      </c>
      <c r="I114" s="3"/>
      <c r="J114" s="7">
        <f t="shared" si="21"/>
        <v>1.4414363322298075E-2</v>
      </c>
      <c r="K114" s="3"/>
      <c r="L114" s="8">
        <f t="shared" si="22"/>
        <v>0</v>
      </c>
      <c r="M114" s="3"/>
      <c r="N114" s="7">
        <f t="shared" si="23"/>
        <v>0</v>
      </c>
      <c r="O114" s="12"/>
      <c r="P114" s="8">
        <v>67100</v>
      </c>
      <c r="Q114" s="3"/>
      <c r="R114" s="7">
        <f t="shared" si="24"/>
        <v>8.3694263702184732E-3</v>
      </c>
      <c r="S114" s="3"/>
      <c r="T114" s="8">
        <v>67100</v>
      </c>
      <c r="U114" s="3"/>
      <c r="V114" s="7">
        <f t="shared" si="25"/>
        <v>7.3778211919612313E-3</v>
      </c>
      <c r="W114" s="3"/>
      <c r="X114" s="8">
        <f t="shared" si="26"/>
        <v>0</v>
      </c>
      <c r="Y114" s="3"/>
      <c r="Z114" s="7">
        <f t="shared" si="27"/>
        <v>0</v>
      </c>
    </row>
    <row r="115" spans="1:26" s="69" customFormat="1" ht="15" customHeight="1" outlineLevel="1" collapsed="1" x14ac:dyDescent="0.25">
      <c r="A115" s="26"/>
      <c r="B115" s="14" t="str">
        <f>CONCATENATE("     ","Repair and Maintenance                            ")</f>
        <v xml:space="preserve">     Repair and Maintenance                            </v>
      </c>
      <c r="C115" s="14"/>
      <c r="D115" s="2">
        <f>SUM(OSRRefD22_17x_0)</f>
        <v>6027.8899999999994</v>
      </c>
      <c r="E115" s="2"/>
      <c r="F115" s="6">
        <f t="shared" si="20"/>
        <v>6.3850204094525187E-3</v>
      </c>
      <c r="G115" s="2"/>
      <c r="H115" s="2">
        <f>SUM(OSRRefH22_17x_0)</f>
        <v>10860</v>
      </c>
      <c r="I115" s="2"/>
      <c r="J115" s="6">
        <f t="shared" si="21"/>
        <v>2.5662292734451982E-2</v>
      </c>
      <c r="K115" s="2"/>
      <c r="L115" s="2">
        <f t="shared" si="22"/>
        <v>-4832.1100000000006</v>
      </c>
      <c r="M115" s="2"/>
      <c r="N115" s="6">
        <f t="shared" si="23"/>
        <v>-0.44494567219152859</v>
      </c>
      <c r="O115" s="14"/>
      <c r="P115" s="2">
        <f>SUM(OSRRefP22_17x_0)</f>
        <v>149696.74</v>
      </c>
      <c r="Q115" s="2"/>
      <c r="R115" s="6">
        <f t="shared" si="24"/>
        <v>1.867177113698567E-2</v>
      </c>
      <c r="S115" s="2"/>
      <c r="T115" s="2">
        <f>SUM(OSRRefT22_17x_0)</f>
        <v>176807</v>
      </c>
      <c r="U115" s="2"/>
      <c r="V115" s="6">
        <f t="shared" si="25"/>
        <v>1.9440393911879128E-2</v>
      </c>
      <c r="W115" s="2"/>
      <c r="X115" s="2">
        <f t="shared" si="26"/>
        <v>-27110.260000000009</v>
      </c>
      <c r="Y115" s="2"/>
      <c r="Z115" s="6">
        <f t="shared" si="27"/>
        <v>-0.15333250380358249</v>
      </c>
    </row>
    <row r="116" spans="1:26" s="70" customFormat="1" ht="15" hidden="1" customHeight="1" outlineLevel="2" x14ac:dyDescent="0.25">
      <c r="A116" s="25"/>
      <c r="B116" s="12" t="str">
        <f>CONCATENATE("          ","6371"," - ","COMPUTER SOFTWARE MAINTENANCE")</f>
        <v xml:space="preserve">          6371 - COMPUTER SOFTWARE MAINTENANCE</v>
      </c>
      <c r="C116" s="12"/>
      <c r="D116" s="8"/>
      <c r="E116" s="3"/>
      <c r="F116" s="7">
        <f t="shared" si="20"/>
        <v>0</v>
      </c>
      <c r="G116" s="3"/>
      <c r="H116" s="8">
        <v>1000</v>
      </c>
      <c r="I116" s="3"/>
      <c r="J116" s="7">
        <f t="shared" si="21"/>
        <v>2.3630103807046024E-3</v>
      </c>
      <c r="K116" s="3"/>
      <c r="L116" s="8">
        <f t="shared" si="22"/>
        <v>-1000</v>
      </c>
      <c r="M116" s="3"/>
      <c r="N116" s="7">
        <f t="shared" si="23"/>
        <v>-1</v>
      </c>
      <c r="O116" s="12"/>
      <c r="P116" s="8">
        <v>62511</v>
      </c>
      <c r="Q116" s="3"/>
      <c r="R116" s="7">
        <f t="shared" si="24"/>
        <v>7.7970374341091954E-3</v>
      </c>
      <c r="S116" s="3"/>
      <c r="T116" s="8">
        <v>52723</v>
      </c>
      <c r="U116" s="3"/>
      <c r="V116" s="7">
        <f t="shared" si="25"/>
        <v>5.7970322906672435E-3</v>
      </c>
      <c r="W116" s="3"/>
      <c r="X116" s="8">
        <f t="shared" si="26"/>
        <v>9788</v>
      </c>
      <c r="Y116" s="3"/>
      <c r="Z116" s="7">
        <f t="shared" si="27"/>
        <v>0.18564952677199703</v>
      </c>
    </row>
    <row r="117" spans="1:26" s="70" customFormat="1" ht="15" hidden="1" customHeight="1" outlineLevel="2" x14ac:dyDescent="0.25">
      <c r="A117" s="25"/>
      <c r="B117" s="12" t="str">
        <f>CONCATENATE("          ","6372"," - ","COMPUTER HARDWARE MAINTENANCE")</f>
        <v xml:space="preserve">          6372 - COMPUTER HARDWARE MAINTENANCE</v>
      </c>
      <c r="C117" s="12"/>
      <c r="D117" s="8"/>
      <c r="E117" s="3"/>
      <c r="F117" s="7">
        <f t="shared" si="20"/>
        <v>0</v>
      </c>
      <c r="G117" s="3"/>
      <c r="H117" s="8">
        <v>3750</v>
      </c>
      <c r="I117" s="3"/>
      <c r="J117" s="7">
        <f t="shared" si="21"/>
        <v>8.8612889276422583E-3</v>
      </c>
      <c r="K117" s="3"/>
      <c r="L117" s="8">
        <f t="shared" si="22"/>
        <v>-3750</v>
      </c>
      <c r="M117" s="3"/>
      <c r="N117" s="7">
        <f t="shared" si="23"/>
        <v>-1</v>
      </c>
      <c r="O117" s="12"/>
      <c r="P117" s="8"/>
      <c r="Q117" s="3"/>
      <c r="R117" s="7">
        <f t="shared" si="24"/>
        <v>0</v>
      </c>
      <c r="S117" s="3"/>
      <c r="T117" s="8">
        <v>37870</v>
      </c>
      <c r="U117" s="3"/>
      <c r="V117" s="7">
        <f t="shared" si="25"/>
        <v>4.1639059394869126E-3</v>
      </c>
      <c r="W117" s="3"/>
      <c r="X117" s="8">
        <f t="shared" si="26"/>
        <v>-37870</v>
      </c>
      <c r="Y117" s="3"/>
      <c r="Z117" s="7">
        <f t="shared" si="27"/>
        <v>-1</v>
      </c>
    </row>
    <row r="118" spans="1:26" s="70" customFormat="1" ht="15" hidden="1" customHeight="1" outlineLevel="2" x14ac:dyDescent="0.25">
      <c r="A118" s="25"/>
      <c r="B118" s="12" t="str">
        <f>CONCATENATE("          ","6373"," - ","MAINTENANCE CONTRACTS")</f>
        <v xml:space="preserve">          6373 - MAINTENANCE CONTRACTS</v>
      </c>
      <c r="C118" s="12"/>
      <c r="D118" s="8">
        <v>2032.98</v>
      </c>
      <c r="E118" s="3"/>
      <c r="F118" s="7">
        <f t="shared" si="20"/>
        <v>2.1534266205934056E-3</v>
      </c>
      <c r="G118" s="3"/>
      <c r="H118" s="8">
        <v>5855</v>
      </c>
      <c r="I118" s="3"/>
      <c r="J118" s="7">
        <f t="shared" si="21"/>
        <v>1.3835425779025447E-2</v>
      </c>
      <c r="K118" s="3"/>
      <c r="L118" s="8">
        <f t="shared" si="22"/>
        <v>-3822.02</v>
      </c>
      <c r="M118" s="3"/>
      <c r="N118" s="7">
        <f t="shared" si="23"/>
        <v>-0.65277882152006828</v>
      </c>
      <c r="O118" s="12"/>
      <c r="P118" s="8">
        <v>25433.88</v>
      </c>
      <c r="Q118" s="3"/>
      <c r="R118" s="7">
        <f t="shared" si="24"/>
        <v>3.1723842916389303E-3</v>
      </c>
      <c r="S118" s="3"/>
      <c r="T118" s="8">
        <v>81279</v>
      </c>
      <c r="U118" s="3"/>
      <c r="V118" s="7">
        <f t="shared" si="25"/>
        <v>8.9368394733445149E-3</v>
      </c>
      <c r="W118" s="3"/>
      <c r="X118" s="8">
        <f t="shared" si="26"/>
        <v>-55845.119999999995</v>
      </c>
      <c r="Y118" s="3"/>
      <c r="Z118" s="7">
        <f t="shared" si="27"/>
        <v>-0.68707931938139</v>
      </c>
    </row>
    <row r="119" spans="1:26" s="70" customFormat="1" ht="15" hidden="1" customHeight="1" outlineLevel="2" x14ac:dyDescent="0.25">
      <c r="A119" s="25"/>
      <c r="B119" s="12" t="str">
        <f>CONCATENATE("          ","6375"," - ","OUTSIDE REPAIRS &amp; MAINTENANCE")</f>
        <v xml:space="preserve">          6375 - OUTSIDE REPAIRS &amp; MAINTENANCE</v>
      </c>
      <c r="C119" s="12"/>
      <c r="D119" s="8">
        <v>3994.91</v>
      </c>
      <c r="E119" s="3"/>
      <c r="F119" s="7">
        <f t="shared" si="20"/>
        <v>4.231593788859114E-3</v>
      </c>
      <c r="G119" s="3"/>
      <c r="H119" s="8">
        <v>255</v>
      </c>
      <c r="I119" s="3"/>
      <c r="J119" s="7">
        <f t="shared" si="21"/>
        <v>6.0256764707967362E-4</v>
      </c>
      <c r="K119" s="3"/>
      <c r="L119" s="8">
        <f t="shared" si="22"/>
        <v>3739.91</v>
      </c>
      <c r="M119" s="3"/>
      <c r="N119" s="7">
        <f t="shared" si="23"/>
        <v>14.666313725490195</v>
      </c>
      <c r="O119" s="12"/>
      <c r="P119" s="8">
        <v>61751.86</v>
      </c>
      <c r="Q119" s="3"/>
      <c r="R119" s="7">
        <f t="shared" si="24"/>
        <v>7.7023494112375464E-3</v>
      </c>
      <c r="S119" s="3"/>
      <c r="T119" s="8">
        <v>4935</v>
      </c>
      <c r="U119" s="3"/>
      <c r="V119" s="7">
        <f t="shared" si="25"/>
        <v>5.426162083804572E-4</v>
      </c>
      <c r="W119" s="3"/>
      <c r="X119" s="8">
        <f t="shared" si="26"/>
        <v>56816.86</v>
      </c>
      <c r="Y119" s="3"/>
      <c r="Z119" s="7">
        <f t="shared" si="27"/>
        <v>11.513041540020264</v>
      </c>
    </row>
    <row r="120" spans="1:26" s="69" customFormat="1" ht="15" customHeight="1" outlineLevel="1" collapsed="1" x14ac:dyDescent="0.25">
      <c r="A120" s="26"/>
      <c r="B120" s="14" t="str">
        <f>CONCATENATE("     ","Royalty &amp; Commissions                             ")</f>
        <v xml:space="preserve">     Royalty &amp; Commissions                             </v>
      </c>
      <c r="C120" s="14"/>
      <c r="D120" s="2">
        <f>SUM(OSRRefD22_18x_0)</f>
        <v>3844.9400000000005</v>
      </c>
      <c r="E120" s="2"/>
      <c r="F120" s="6">
        <f t="shared" si="20"/>
        <v>4.0727386155222428E-3</v>
      </c>
      <c r="G120" s="2"/>
      <c r="H120" s="2">
        <f>SUM(OSRRefH22_18x_0)</f>
        <v>10895</v>
      </c>
      <c r="I120" s="2"/>
      <c r="J120" s="6">
        <f t="shared" si="21"/>
        <v>2.5744998097776643E-2</v>
      </c>
      <c r="K120" s="2"/>
      <c r="L120" s="2">
        <f t="shared" si="22"/>
        <v>-7050.0599999999995</v>
      </c>
      <c r="M120" s="2"/>
      <c r="N120" s="6">
        <f t="shared" si="23"/>
        <v>-0.64709132629646626</v>
      </c>
      <c r="O120" s="14"/>
      <c r="P120" s="2">
        <f>SUM(OSRRefP22_18x_0)</f>
        <v>89834.979999999981</v>
      </c>
      <c r="Q120" s="2"/>
      <c r="R120" s="6">
        <f t="shared" si="24"/>
        <v>1.1205175120418017E-2</v>
      </c>
      <c r="S120" s="2"/>
      <c r="T120" s="2">
        <f>SUM(OSRRefT22_18x_0)</f>
        <v>113022</v>
      </c>
      <c r="U120" s="2"/>
      <c r="V120" s="6">
        <f t="shared" si="25"/>
        <v>1.2427065674483493E-2</v>
      </c>
      <c r="W120" s="2"/>
      <c r="X120" s="2">
        <f t="shared" si="26"/>
        <v>-23187.020000000019</v>
      </c>
      <c r="Y120" s="2"/>
      <c r="Z120" s="6">
        <f t="shared" si="27"/>
        <v>-0.20515492558970835</v>
      </c>
    </row>
    <row r="121" spans="1:26" s="70" customFormat="1" ht="15" hidden="1" customHeight="1" outlineLevel="2" x14ac:dyDescent="0.25">
      <c r="A121" s="25"/>
      <c r="B121" s="12" t="str">
        <f>CONCATENATE("          ","6252"," - ","ROYALTY DUE CSTV")</f>
        <v xml:space="preserve">          6252 - ROYALTY DUE CSTV</v>
      </c>
      <c r="C121" s="12"/>
      <c r="D121" s="8"/>
      <c r="E121" s="3"/>
      <c r="F121" s="7">
        <f t="shared" si="20"/>
        <v>0</v>
      </c>
      <c r="G121" s="3"/>
      <c r="H121" s="8">
        <v>2156</v>
      </c>
      <c r="I121" s="3"/>
      <c r="J121" s="7">
        <f t="shared" si="21"/>
        <v>5.0946503807991232E-3</v>
      </c>
      <c r="K121" s="3"/>
      <c r="L121" s="8">
        <f t="shared" si="22"/>
        <v>-2156</v>
      </c>
      <c r="M121" s="3"/>
      <c r="N121" s="7">
        <f t="shared" si="23"/>
        <v>-1</v>
      </c>
      <c r="O121" s="12"/>
      <c r="P121" s="8"/>
      <c r="Q121" s="3"/>
      <c r="R121" s="7">
        <f t="shared" si="24"/>
        <v>0</v>
      </c>
      <c r="S121" s="3"/>
      <c r="T121" s="8">
        <v>15686</v>
      </c>
      <c r="U121" s="3"/>
      <c r="V121" s="7">
        <f t="shared" si="25"/>
        <v>1.7247168884814289E-3</v>
      </c>
      <c r="W121" s="3"/>
      <c r="X121" s="8">
        <f t="shared" si="26"/>
        <v>-15686</v>
      </c>
      <c r="Y121" s="3"/>
      <c r="Z121" s="7">
        <f t="shared" si="27"/>
        <v>-1</v>
      </c>
    </row>
    <row r="122" spans="1:26" s="70" customFormat="1" ht="15" hidden="1" customHeight="1" outlineLevel="2" x14ac:dyDescent="0.25">
      <c r="A122" s="25"/>
      <c r="B122" s="12" t="str">
        <f>CONCATENATE("          ","6253"," - ","ROYALTY DUE ATHLETICS-LRG")</f>
        <v xml:space="preserve">          6253 - ROYALTY DUE ATHLETICS-LRG</v>
      </c>
      <c r="C122" s="12"/>
      <c r="D122" s="8">
        <v>-3708.97</v>
      </c>
      <c r="E122" s="3"/>
      <c r="F122" s="7">
        <f t="shared" ref="F122:F151" si="28">IF(D$12=0,0,D122/D$12)</f>
        <v>-3.9287128909198926E-3</v>
      </c>
      <c r="G122" s="3"/>
      <c r="H122" s="8">
        <v>0</v>
      </c>
      <c r="I122" s="3"/>
      <c r="J122" s="7">
        <f t="shared" ref="J122:J151" si="29">IF(H$12=0,0,H122/H$12)</f>
        <v>0</v>
      </c>
      <c r="K122" s="3"/>
      <c r="L122" s="8">
        <f t="shared" ref="L122:L151" si="30">+D122-H122</f>
        <v>-3708.97</v>
      </c>
      <c r="M122" s="3"/>
      <c r="N122" s="7">
        <f t="shared" ref="N122:N151" si="31">IF(H122=0,0,L122/H122)</f>
        <v>0</v>
      </c>
      <c r="O122" s="12"/>
      <c r="P122" s="8">
        <v>51456.52</v>
      </c>
      <c r="Q122" s="3"/>
      <c r="R122" s="7">
        <f t="shared" ref="R122:R151" si="32">IF(P$12=0,0,P122/P$12)</f>
        <v>6.418204998624057E-3</v>
      </c>
      <c r="S122" s="3"/>
      <c r="T122" s="8">
        <v>38502</v>
      </c>
      <c r="U122" s="3"/>
      <c r="V122" s="7">
        <f t="shared" ref="V122:V151" si="33">IF(T$12=0,0,T122/T$12)</f>
        <v>4.2333959989998707E-3</v>
      </c>
      <c r="W122" s="3"/>
      <c r="X122" s="8">
        <f t="shared" ref="X122:X151" si="34">+P122-T122</f>
        <v>12954.519999999997</v>
      </c>
      <c r="Y122" s="3"/>
      <c r="Z122" s="7">
        <f t="shared" ref="Z122:Z151" si="35">IF(T122=0,0,X122/T122)</f>
        <v>0.33646356033452801</v>
      </c>
    </row>
    <row r="123" spans="1:26" s="70" customFormat="1" ht="15" hidden="1" customHeight="1" outlineLevel="2" x14ac:dyDescent="0.25">
      <c r="A123" s="25"/>
      <c r="B123" s="12" t="str">
        <f>CONCATENATE("          ","6254"," - ","ROYALTY &amp; COMMISSIONS")</f>
        <v xml:space="preserve">          6254 - ROYALTY &amp; COMMISSIONS</v>
      </c>
      <c r="C123" s="12"/>
      <c r="D123" s="8">
        <v>6293.1</v>
      </c>
      <c r="E123" s="3"/>
      <c r="F123" s="7">
        <f t="shared" si="28"/>
        <v>6.6659431308012679E-3</v>
      </c>
      <c r="G123" s="3"/>
      <c r="H123" s="8">
        <v>1000</v>
      </c>
      <c r="I123" s="3"/>
      <c r="J123" s="7">
        <f t="shared" si="29"/>
        <v>2.3630103807046024E-3</v>
      </c>
      <c r="K123" s="3"/>
      <c r="L123" s="8">
        <f t="shared" si="30"/>
        <v>5293.1</v>
      </c>
      <c r="M123" s="3"/>
      <c r="N123" s="7">
        <f t="shared" si="31"/>
        <v>5.2931000000000008</v>
      </c>
      <c r="O123" s="12"/>
      <c r="P123" s="8">
        <v>25067</v>
      </c>
      <c r="Q123" s="3"/>
      <c r="R123" s="7">
        <f t="shared" si="32"/>
        <v>3.1266231121053127E-3</v>
      </c>
      <c r="S123" s="3"/>
      <c r="T123" s="8">
        <v>4500</v>
      </c>
      <c r="U123" s="3"/>
      <c r="V123" s="7">
        <f t="shared" si="33"/>
        <v>4.9478681615239262E-4</v>
      </c>
      <c r="W123" s="3"/>
      <c r="X123" s="8">
        <f t="shared" si="34"/>
        <v>20567</v>
      </c>
      <c r="Y123" s="3"/>
      <c r="Z123" s="7">
        <f t="shared" si="35"/>
        <v>4.5704444444444441</v>
      </c>
    </row>
    <row r="124" spans="1:26" s="70" customFormat="1" ht="15" hidden="1" customHeight="1" outlineLevel="2" x14ac:dyDescent="0.25">
      <c r="A124" s="25"/>
      <c r="B124" s="12" t="str">
        <f>CONCATENATE("          ","6259"," - ","ROYALTY &amp; COMMISSIONS")</f>
        <v xml:space="preserve">          6259 - ROYALTY &amp; COMMISSIONS</v>
      </c>
      <c r="C124" s="12"/>
      <c r="D124" s="8">
        <v>1260.81</v>
      </c>
      <c r="E124" s="3"/>
      <c r="F124" s="7">
        <f t="shared" si="28"/>
        <v>1.3355083756408678E-3</v>
      </c>
      <c r="G124" s="3"/>
      <c r="H124" s="8">
        <v>7739</v>
      </c>
      <c r="I124" s="3"/>
      <c r="J124" s="7">
        <f t="shared" si="29"/>
        <v>1.828733733627292E-2</v>
      </c>
      <c r="K124" s="3"/>
      <c r="L124" s="8">
        <f t="shared" si="30"/>
        <v>-6478.1900000000005</v>
      </c>
      <c r="M124" s="3"/>
      <c r="N124" s="7">
        <f t="shared" si="31"/>
        <v>-0.83708360253262704</v>
      </c>
      <c r="O124" s="12"/>
      <c r="P124" s="8">
        <v>13311.46</v>
      </c>
      <c r="Q124" s="3"/>
      <c r="R124" s="7">
        <f t="shared" si="32"/>
        <v>1.6603470096886496E-3</v>
      </c>
      <c r="S124" s="3"/>
      <c r="T124" s="8">
        <v>54334</v>
      </c>
      <c r="U124" s="3"/>
      <c r="V124" s="7">
        <f t="shared" si="33"/>
        <v>5.9741659708497999E-3</v>
      </c>
      <c r="W124" s="3"/>
      <c r="X124" s="8">
        <f t="shared" si="34"/>
        <v>-41022.54</v>
      </c>
      <c r="Y124" s="3"/>
      <c r="Z124" s="7">
        <f t="shared" si="35"/>
        <v>-0.75500680973239598</v>
      </c>
    </row>
    <row r="125" spans="1:26" s="69" customFormat="1" ht="15" customHeight="1" outlineLevel="1" collapsed="1" x14ac:dyDescent="0.25">
      <c r="A125" s="26"/>
      <c r="B125" s="14" t="str">
        <f>CONCATENATE("     ","Services                                          ")</f>
        <v xml:space="preserve">     Services                                          </v>
      </c>
      <c r="C125" s="14"/>
      <c r="D125" s="2">
        <f>SUM(OSRRefD22_19x_0)</f>
        <v>5306.1799999999994</v>
      </c>
      <c r="E125" s="2"/>
      <c r="F125" s="6">
        <f t="shared" si="28"/>
        <v>5.62055173472455E-3</v>
      </c>
      <c r="G125" s="2"/>
      <c r="H125" s="2">
        <f>SUM(OSRRefH22_19x_0)</f>
        <v>4652</v>
      </c>
      <c r="I125" s="2"/>
      <c r="J125" s="6">
        <f t="shared" si="29"/>
        <v>1.0992724291037811E-2</v>
      </c>
      <c r="K125" s="2"/>
      <c r="L125" s="2">
        <f t="shared" si="30"/>
        <v>654.17999999999938</v>
      </c>
      <c r="M125" s="2"/>
      <c r="N125" s="6">
        <f t="shared" si="31"/>
        <v>0.14062338779019762</v>
      </c>
      <c r="O125" s="14"/>
      <c r="P125" s="2">
        <f>SUM(OSRRefP22_19x_0)</f>
        <v>74233.739999999991</v>
      </c>
      <c r="Q125" s="2"/>
      <c r="R125" s="6">
        <f t="shared" si="32"/>
        <v>9.2592223713255112E-3</v>
      </c>
      <c r="S125" s="2"/>
      <c r="T125" s="2">
        <f>SUM(OSRRefT22_19x_0)</f>
        <v>51069</v>
      </c>
      <c r="U125" s="2"/>
      <c r="V125" s="6">
        <f t="shared" si="33"/>
        <v>5.6151706475747855E-3</v>
      </c>
      <c r="W125" s="2"/>
      <c r="X125" s="2">
        <f t="shared" si="34"/>
        <v>23164.739999999991</v>
      </c>
      <c r="Y125" s="2"/>
      <c r="Z125" s="6">
        <f t="shared" si="35"/>
        <v>0.45359689831404554</v>
      </c>
    </row>
    <row r="126" spans="1:26" s="70" customFormat="1" ht="15" hidden="1" customHeight="1" outlineLevel="2" x14ac:dyDescent="0.25">
      <c r="A126" s="25"/>
      <c r="B126" s="12" t="str">
        <f>CONCATENATE("          ","6282"," - ","JANITORIAL/EXTERMINATOR EXPENS")</f>
        <v xml:space="preserve">          6282 - JANITORIAL/EXTERMINATOR EXPENS</v>
      </c>
      <c r="C126" s="12"/>
      <c r="D126" s="8">
        <v>365.05</v>
      </c>
      <c r="E126" s="3"/>
      <c r="F126" s="7">
        <f t="shared" si="28"/>
        <v>3.8667787575265018E-4</v>
      </c>
      <c r="G126" s="3"/>
      <c r="H126" s="8">
        <v>4558</v>
      </c>
      <c r="I126" s="3"/>
      <c r="J126" s="7">
        <f t="shared" si="29"/>
        <v>1.0770601315251578E-2</v>
      </c>
      <c r="K126" s="3"/>
      <c r="L126" s="8">
        <f t="shared" si="30"/>
        <v>-4192.95</v>
      </c>
      <c r="M126" s="3"/>
      <c r="N126" s="7">
        <f t="shared" si="31"/>
        <v>-0.91991004826678369</v>
      </c>
      <c r="O126" s="12"/>
      <c r="P126" s="8">
        <v>6951.53</v>
      </c>
      <c r="Q126" s="3"/>
      <c r="R126" s="7">
        <f t="shared" si="32"/>
        <v>8.6706883003524326E-4</v>
      </c>
      <c r="S126" s="3"/>
      <c r="T126" s="8">
        <v>49880</v>
      </c>
      <c r="U126" s="3"/>
      <c r="V126" s="7">
        <f t="shared" si="33"/>
        <v>5.484436975484743E-3</v>
      </c>
      <c r="W126" s="3"/>
      <c r="X126" s="8">
        <f t="shared" si="34"/>
        <v>-42928.47</v>
      </c>
      <c r="Y126" s="3"/>
      <c r="Z126" s="7">
        <f t="shared" si="35"/>
        <v>-0.86063492381716122</v>
      </c>
    </row>
    <row r="127" spans="1:26" s="70" customFormat="1" ht="15" hidden="1" customHeight="1" outlineLevel="2" x14ac:dyDescent="0.25">
      <c r="A127" s="25"/>
      <c r="B127" s="12" t="str">
        <f>CONCATENATE("          ","6284"," - ","TRASH REMOVAL EXPENSE")</f>
        <v xml:space="preserve">          6284 - TRASH REMOVAL EXPENSE</v>
      </c>
      <c r="C127" s="12"/>
      <c r="D127" s="8">
        <v>149.69999999999999</v>
      </c>
      <c r="E127" s="3"/>
      <c r="F127" s="7">
        <f t="shared" si="28"/>
        <v>1.5856917682556285E-4</v>
      </c>
      <c r="G127" s="3"/>
      <c r="H127" s="8">
        <v>60</v>
      </c>
      <c r="I127" s="3"/>
      <c r="J127" s="7">
        <f t="shared" si="29"/>
        <v>1.4178062284227614E-4</v>
      </c>
      <c r="K127" s="3"/>
      <c r="L127" s="8">
        <f t="shared" si="30"/>
        <v>89.699999999999989</v>
      </c>
      <c r="M127" s="3"/>
      <c r="N127" s="7">
        <f t="shared" si="31"/>
        <v>1.4949999999999999</v>
      </c>
      <c r="O127" s="12"/>
      <c r="P127" s="8">
        <v>1489.87</v>
      </c>
      <c r="Q127" s="3"/>
      <c r="R127" s="7">
        <f t="shared" si="32"/>
        <v>1.858324480804381E-4</v>
      </c>
      <c r="S127" s="3"/>
      <c r="T127" s="8">
        <v>840</v>
      </c>
      <c r="U127" s="3"/>
      <c r="V127" s="7">
        <f t="shared" si="33"/>
        <v>9.2360205681779947E-5</v>
      </c>
      <c r="W127" s="3"/>
      <c r="X127" s="8">
        <f t="shared" si="34"/>
        <v>649.86999999999989</v>
      </c>
      <c r="Y127" s="3"/>
      <c r="Z127" s="7">
        <f t="shared" si="35"/>
        <v>0.77365476190476179</v>
      </c>
    </row>
    <row r="128" spans="1:26" s="70" customFormat="1" ht="15" hidden="1" customHeight="1" outlineLevel="2" x14ac:dyDescent="0.25">
      <c r="A128" s="25"/>
      <c r="B128" s="12" t="str">
        <f>CONCATENATE("          ","6285"," - ","JANITORIAL SERVICES")</f>
        <v xml:space="preserve">          6285 - JANITORIAL SERVICES</v>
      </c>
      <c r="C128" s="12"/>
      <c r="D128" s="8">
        <v>4698.3999999999996</v>
      </c>
      <c r="E128" s="3"/>
      <c r="F128" s="7">
        <f t="shared" si="28"/>
        <v>4.9767629953054414E-3</v>
      </c>
      <c r="G128" s="3"/>
      <c r="H128" s="8"/>
      <c r="I128" s="3"/>
      <c r="J128" s="7">
        <f t="shared" si="29"/>
        <v>0</v>
      </c>
      <c r="K128" s="3"/>
      <c r="L128" s="8">
        <f t="shared" si="30"/>
        <v>4698.3999999999996</v>
      </c>
      <c r="M128" s="3"/>
      <c r="N128" s="7">
        <f t="shared" si="31"/>
        <v>0</v>
      </c>
      <c r="O128" s="12"/>
      <c r="P128" s="8">
        <v>64644.55</v>
      </c>
      <c r="Q128" s="3"/>
      <c r="R128" s="7">
        <f t="shared" si="32"/>
        <v>8.0631565046334827E-3</v>
      </c>
      <c r="S128" s="3"/>
      <c r="T128" s="8"/>
      <c r="U128" s="3"/>
      <c r="V128" s="7">
        <f t="shared" si="33"/>
        <v>0</v>
      </c>
      <c r="W128" s="3"/>
      <c r="X128" s="8">
        <f t="shared" si="34"/>
        <v>64644.55</v>
      </c>
      <c r="Y128" s="3"/>
      <c r="Z128" s="7">
        <f t="shared" si="35"/>
        <v>0</v>
      </c>
    </row>
    <row r="129" spans="1:26" s="70" customFormat="1" ht="15" hidden="1" customHeight="1" outlineLevel="2" x14ac:dyDescent="0.25">
      <c r="A129" s="25"/>
      <c r="B129" s="12" t="str">
        <f>CONCATENATE("          ","6286"," - ","LAUNDRY EXPENSE")</f>
        <v xml:space="preserve">          6286 - LAUNDRY EXPENSE</v>
      </c>
      <c r="C129" s="12"/>
      <c r="D129" s="8">
        <v>93.03</v>
      </c>
      <c r="E129" s="3"/>
      <c r="F129" s="7">
        <f t="shared" si="28"/>
        <v>9.8541686840895889E-5</v>
      </c>
      <c r="G129" s="3"/>
      <c r="H129" s="8">
        <v>34</v>
      </c>
      <c r="I129" s="3"/>
      <c r="J129" s="7">
        <f t="shared" si="29"/>
        <v>8.0342352943956488E-5</v>
      </c>
      <c r="K129" s="3"/>
      <c r="L129" s="8">
        <f t="shared" si="30"/>
        <v>59.03</v>
      </c>
      <c r="M129" s="3"/>
      <c r="N129" s="7">
        <f t="shared" si="31"/>
        <v>1.7361764705882354</v>
      </c>
      <c r="O129" s="12"/>
      <c r="P129" s="8">
        <v>1147.79</v>
      </c>
      <c r="Q129" s="3"/>
      <c r="R129" s="7">
        <f t="shared" si="32"/>
        <v>1.4316458857634965E-4</v>
      </c>
      <c r="S129" s="3"/>
      <c r="T129" s="8">
        <v>349</v>
      </c>
      <c r="U129" s="3"/>
      <c r="V129" s="7">
        <f t="shared" si="33"/>
        <v>3.8373466408263336E-5</v>
      </c>
      <c r="W129" s="3"/>
      <c r="X129" s="8">
        <f t="shared" si="34"/>
        <v>798.79</v>
      </c>
      <c r="Y129" s="3"/>
      <c r="Z129" s="7">
        <f t="shared" si="35"/>
        <v>2.2887965616045842</v>
      </c>
    </row>
    <row r="130" spans="1:26" s="69" customFormat="1" ht="15" customHeight="1" outlineLevel="1" collapsed="1" x14ac:dyDescent="0.25">
      <c r="A130" s="26"/>
      <c r="B130" s="14" t="str">
        <f>CONCATENATE("     ","Subscriptions &amp; Dues                              ")</f>
        <v xml:space="preserve">     Subscriptions &amp; Dues                              </v>
      </c>
      <c r="C130" s="14"/>
      <c r="D130" s="2">
        <f>SUM(OSRRefD22_20x_0)</f>
        <v>2287.59</v>
      </c>
      <c r="E130" s="2"/>
      <c r="F130" s="6">
        <f t="shared" si="28"/>
        <v>2.4231213307574443E-3</v>
      </c>
      <c r="G130" s="2"/>
      <c r="H130" s="2">
        <f>SUM(OSRRefH22_20x_0)</f>
        <v>481</v>
      </c>
      <c r="I130" s="2"/>
      <c r="J130" s="6">
        <f t="shared" si="29"/>
        <v>1.1366079931189137E-3</v>
      </c>
      <c r="K130" s="2"/>
      <c r="L130" s="2">
        <f t="shared" si="30"/>
        <v>1806.5900000000001</v>
      </c>
      <c r="M130" s="2"/>
      <c r="N130" s="6">
        <f t="shared" si="31"/>
        <v>3.755904365904366</v>
      </c>
      <c r="O130" s="14"/>
      <c r="P130" s="2">
        <f>SUM(OSRRefP22_20x_0)</f>
        <v>7183.53</v>
      </c>
      <c r="Q130" s="2"/>
      <c r="R130" s="6">
        <f t="shared" si="32"/>
        <v>8.9600633998890473E-4</v>
      </c>
      <c r="S130" s="2"/>
      <c r="T130" s="2">
        <f>SUM(OSRRefT22_20x_0)</f>
        <v>12886</v>
      </c>
      <c r="U130" s="2"/>
      <c r="V130" s="6">
        <f t="shared" si="33"/>
        <v>1.416849536208829E-3</v>
      </c>
      <c r="W130" s="2"/>
      <c r="X130" s="2">
        <f t="shared" si="34"/>
        <v>-5702.47</v>
      </c>
      <c r="Y130" s="2"/>
      <c r="Z130" s="6">
        <f t="shared" si="35"/>
        <v>-0.44253220549433497</v>
      </c>
    </row>
    <row r="131" spans="1:26" s="70" customFormat="1" ht="15" hidden="1" customHeight="1" outlineLevel="2" x14ac:dyDescent="0.25">
      <c r="A131" s="25"/>
      <c r="B131" s="12" t="str">
        <f>CONCATENATE("          ","6258"," - ","MEMBERSHIP DUES")</f>
        <v xml:space="preserve">          6258 - MEMBERSHIP DUES</v>
      </c>
      <c r="C131" s="12"/>
      <c r="D131" s="8">
        <v>843.84</v>
      </c>
      <c r="E131" s="3"/>
      <c r="F131" s="7">
        <f t="shared" si="28"/>
        <v>8.9383443000990641E-4</v>
      </c>
      <c r="G131" s="3"/>
      <c r="H131" s="8">
        <v>300</v>
      </c>
      <c r="I131" s="3"/>
      <c r="J131" s="7">
        <f t="shared" si="29"/>
        <v>7.0890311421138068E-4</v>
      </c>
      <c r="K131" s="3"/>
      <c r="L131" s="8">
        <f t="shared" si="30"/>
        <v>543.84</v>
      </c>
      <c r="M131" s="3"/>
      <c r="N131" s="7">
        <f t="shared" si="31"/>
        <v>1.8128000000000002</v>
      </c>
      <c r="O131" s="12"/>
      <c r="P131" s="8">
        <v>3832.14</v>
      </c>
      <c r="Q131" s="3"/>
      <c r="R131" s="7">
        <f t="shared" si="32"/>
        <v>4.7798529911131178E-4</v>
      </c>
      <c r="S131" s="3"/>
      <c r="T131" s="8">
        <v>9695</v>
      </c>
      <c r="U131" s="3"/>
      <c r="V131" s="7">
        <f t="shared" si="33"/>
        <v>1.0659907072438769E-3</v>
      </c>
      <c r="W131" s="3"/>
      <c r="X131" s="8">
        <f t="shared" si="34"/>
        <v>-5862.8600000000006</v>
      </c>
      <c r="Y131" s="3"/>
      <c r="Z131" s="7">
        <f t="shared" si="35"/>
        <v>-0.60473027333677154</v>
      </c>
    </row>
    <row r="132" spans="1:26" s="70" customFormat="1" ht="15" hidden="1" customHeight="1" outlineLevel="2" x14ac:dyDescent="0.25">
      <c r="A132" s="25"/>
      <c r="B132" s="12" t="str">
        <f>CONCATENATE("          ","6275"," - ","SUBSCRIPTIONS")</f>
        <v xml:space="preserve">          6275 - SUBSCRIPTIONS</v>
      </c>
      <c r="C132" s="12"/>
      <c r="D132" s="8">
        <v>1443.75</v>
      </c>
      <c r="E132" s="3"/>
      <c r="F132" s="7">
        <f t="shared" si="28"/>
        <v>1.5292869007475377E-3</v>
      </c>
      <c r="G132" s="3"/>
      <c r="H132" s="8">
        <v>181</v>
      </c>
      <c r="I132" s="3"/>
      <c r="J132" s="7">
        <f t="shared" si="29"/>
        <v>4.2770487890753307E-4</v>
      </c>
      <c r="K132" s="3"/>
      <c r="L132" s="8">
        <f t="shared" si="30"/>
        <v>1262.75</v>
      </c>
      <c r="M132" s="3"/>
      <c r="N132" s="7">
        <f t="shared" si="31"/>
        <v>6.9765193370165743</v>
      </c>
      <c r="O132" s="12"/>
      <c r="P132" s="8">
        <v>3351.39</v>
      </c>
      <c r="Q132" s="3"/>
      <c r="R132" s="7">
        <f t="shared" si="32"/>
        <v>4.1802104087759295E-4</v>
      </c>
      <c r="S132" s="3"/>
      <c r="T132" s="8">
        <v>3191</v>
      </c>
      <c r="U132" s="3"/>
      <c r="V132" s="7">
        <f t="shared" si="33"/>
        <v>3.5085882896495214E-4</v>
      </c>
      <c r="W132" s="3"/>
      <c r="X132" s="8">
        <f t="shared" si="34"/>
        <v>160.38999999999987</v>
      </c>
      <c r="Y132" s="3"/>
      <c r="Z132" s="7">
        <f t="shared" si="35"/>
        <v>5.0263240363522366E-2</v>
      </c>
    </row>
    <row r="133" spans="1:26" s="69" customFormat="1" ht="15" customHeight="1" outlineLevel="1" collapsed="1" x14ac:dyDescent="0.25">
      <c r="A133" s="26"/>
      <c r="B133" s="14" t="str">
        <f>CONCATENATE("     ","Supplies                                          ")</f>
        <v xml:space="preserve">     Supplies                                          </v>
      </c>
      <c r="C133" s="14"/>
      <c r="D133" s="2">
        <f>SUM(OSRRefD22_21x_0)</f>
        <v>19102.199999999997</v>
      </c>
      <c r="E133" s="2"/>
      <c r="F133" s="6">
        <f t="shared" si="28"/>
        <v>2.0233935401184146E-2</v>
      </c>
      <c r="G133" s="2"/>
      <c r="H133" s="2">
        <f>SUM(OSRRefH22_21x_0)</f>
        <v>13620</v>
      </c>
      <c r="I133" s="2"/>
      <c r="J133" s="6">
        <f t="shared" si="29"/>
        <v>3.2184201385196683E-2</v>
      </c>
      <c r="K133" s="2"/>
      <c r="L133" s="2">
        <f t="shared" si="30"/>
        <v>5482.1999999999971</v>
      </c>
      <c r="M133" s="2"/>
      <c r="N133" s="6">
        <f t="shared" si="31"/>
        <v>0.4025110132158588</v>
      </c>
      <c r="O133" s="14"/>
      <c r="P133" s="2">
        <f>SUM(OSRRefP22_21x_0)</f>
        <v>122568.67000000001</v>
      </c>
      <c r="Q133" s="2"/>
      <c r="R133" s="6">
        <f t="shared" si="32"/>
        <v>1.5288069431603666E-2</v>
      </c>
      <c r="S133" s="2"/>
      <c r="T133" s="2">
        <f>SUM(OSRRefT22_21x_0)</f>
        <v>142700</v>
      </c>
      <c r="U133" s="2"/>
      <c r="V133" s="6">
        <f t="shared" si="33"/>
        <v>1.5690239703321427E-2</v>
      </c>
      <c r="W133" s="2"/>
      <c r="X133" s="2">
        <f t="shared" si="34"/>
        <v>-20131.329999999987</v>
      </c>
      <c r="Y133" s="2"/>
      <c r="Z133" s="6">
        <f t="shared" si="35"/>
        <v>-0.14107449194113517</v>
      </c>
    </row>
    <row r="134" spans="1:26" s="70" customFormat="1" ht="15" hidden="1" customHeight="1" outlineLevel="2" x14ac:dyDescent="0.25">
      <c r="A134" s="25"/>
      <c r="B134" s="12" t="str">
        <f>CONCATENATE("          ","6234"," - ","EXPENDABLE SUPPLIES &amp; EQUIPMEN")</f>
        <v xml:space="preserve">          6234 - EXPENDABLE SUPPLIES &amp; EQUIPMEN</v>
      </c>
      <c r="C134" s="12"/>
      <c r="D134" s="8"/>
      <c r="E134" s="3"/>
      <c r="F134" s="7">
        <f t="shared" si="28"/>
        <v>0</v>
      </c>
      <c r="G134" s="3"/>
      <c r="H134" s="8">
        <v>350</v>
      </c>
      <c r="I134" s="3"/>
      <c r="J134" s="7">
        <f t="shared" si="29"/>
        <v>8.2705363324661087E-4</v>
      </c>
      <c r="K134" s="3"/>
      <c r="L134" s="8">
        <f t="shared" si="30"/>
        <v>-350</v>
      </c>
      <c r="M134" s="3"/>
      <c r="N134" s="7">
        <f t="shared" si="31"/>
        <v>-1</v>
      </c>
      <c r="O134" s="12"/>
      <c r="P134" s="8">
        <v>11477.77</v>
      </c>
      <c r="Q134" s="3"/>
      <c r="R134" s="7">
        <f t="shared" si="32"/>
        <v>1.4316296707794708E-3</v>
      </c>
      <c r="S134" s="3"/>
      <c r="T134" s="8">
        <v>3500</v>
      </c>
      <c r="U134" s="3"/>
      <c r="V134" s="7">
        <f t="shared" si="33"/>
        <v>3.848341903407498E-4</v>
      </c>
      <c r="W134" s="3"/>
      <c r="X134" s="8">
        <f t="shared" si="34"/>
        <v>7977.77</v>
      </c>
      <c r="Y134" s="3"/>
      <c r="Z134" s="7">
        <f t="shared" si="35"/>
        <v>2.2793628571428575</v>
      </c>
    </row>
    <row r="135" spans="1:26" s="70" customFormat="1" ht="15" hidden="1" customHeight="1" outlineLevel="2" x14ac:dyDescent="0.25">
      <c r="A135" s="25"/>
      <c r="B135" s="12" t="str">
        <f>CONCATENATE("          ","6235"," - ","COVID-19 EXPENSES")</f>
        <v xml:space="preserve">          6235 - COVID-19 EXPENSES</v>
      </c>
      <c r="C135" s="12"/>
      <c r="D135" s="8">
        <v>156</v>
      </c>
      <c r="E135" s="3"/>
      <c r="F135" s="7">
        <f t="shared" si="28"/>
        <v>1.6524242875609759E-4</v>
      </c>
      <c r="G135" s="3"/>
      <c r="H135" s="8">
        <v>125</v>
      </c>
      <c r="I135" s="3"/>
      <c r="J135" s="7">
        <f t="shared" si="29"/>
        <v>2.953762975880753E-4</v>
      </c>
      <c r="K135" s="3"/>
      <c r="L135" s="8">
        <f t="shared" si="30"/>
        <v>31</v>
      </c>
      <c r="M135" s="3"/>
      <c r="N135" s="7">
        <f t="shared" si="31"/>
        <v>0.248</v>
      </c>
      <c r="O135" s="12"/>
      <c r="P135" s="8">
        <v>3657.77</v>
      </c>
      <c r="Q135" s="3"/>
      <c r="R135" s="7">
        <f t="shared" si="32"/>
        <v>4.5623601630691545E-4</v>
      </c>
      <c r="S135" s="3"/>
      <c r="T135" s="8">
        <v>1375</v>
      </c>
      <c r="U135" s="3"/>
      <c r="V135" s="7">
        <f t="shared" si="33"/>
        <v>1.5118486049100883E-4</v>
      </c>
      <c r="W135" s="3"/>
      <c r="X135" s="8">
        <f t="shared" si="34"/>
        <v>2282.77</v>
      </c>
      <c r="Y135" s="3"/>
      <c r="Z135" s="7">
        <f t="shared" si="35"/>
        <v>1.6601963636363637</v>
      </c>
    </row>
    <row r="136" spans="1:26" s="70" customFormat="1" ht="15" hidden="1" customHeight="1" outlineLevel="2" x14ac:dyDescent="0.25">
      <c r="A136" s="25"/>
      <c r="B136" s="12" t="str">
        <f>CONCATENATE("          ","6237"," - ","JANITORIAL SUPPLIES")</f>
        <v xml:space="preserve">          6237 - JANITORIAL SUPPLIES</v>
      </c>
      <c r="C136" s="12"/>
      <c r="D136" s="8">
        <v>648.61</v>
      </c>
      <c r="E136" s="3"/>
      <c r="F136" s="7">
        <f t="shared" si="28"/>
        <v>6.870377674070029E-4</v>
      </c>
      <c r="G136" s="3"/>
      <c r="H136" s="8">
        <v>50</v>
      </c>
      <c r="I136" s="3"/>
      <c r="J136" s="7">
        <f t="shared" si="29"/>
        <v>1.1815051903523012E-4</v>
      </c>
      <c r="K136" s="3"/>
      <c r="L136" s="8">
        <f t="shared" si="30"/>
        <v>598.61</v>
      </c>
      <c r="M136" s="3"/>
      <c r="N136" s="7">
        <f t="shared" si="31"/>
        <v>11.972200000000001</v>
      </c>
      <c r="O136" s="12"/>
      <c r="P136" s="8">
        <v>7783.32</v>
      </c>
      <c r="Q136" s="3"/>
      <c r="R136" s="7">
        <f t="shared" si="32"/>
        <v>9.7081853436436431E-4</v>
      </c>
      <c r="S136" s="3"/>
      <c r="T136" s="8">
        <v>480</v>
      </c>
      <c r="U136" s="3"/>
      <c r="V136" s="7">
        <f t="shared" si="33"/>
        <v>5.2777260389588539E-5</v>
      </c>
      <c r="W136" s="3"/>
      <c r="X136" s="8">
        <f t="shared" si="34"/>
        <v>7303.32</v>
      </c>
      <c r="Y136" s="3"/>
      <c r="Z136" s="7">
        <f t="shared" si="35"/>
        <v>15.215249999999999</v>
      </c>
    </row>
    <row r="137" spans="1:26" s="70" customFormat="1" ht="15" hidden="1" customHeight="1" outlineLevel="2" x14ac:dyDescent="0.25">
      <c r="A137" s="25"/>
      <c r="B137" s="12" t="str">
        <f>CONCATENATE("          ","6241"," - ","OFFICE EXPENSE")</f>
        <v xml:space="preserve">          6241 - OFFICE EXPENSE</v>
      </c>
      <c r="C137" s="12"/>
      <c r="D137" s="8">
        <v>648.09</v>
      </c>
      <c r="E137" s="3"/>
      <c r="F137" s="7">
        <f t="shared" si="28"/>
        <v>6.8648695931114933E-4</v>
      </c>
      <c r="G137" s="3"/>
      <c r="H137" s="8">
        <v>470</v>
      </c>
      <c r="I137" s="3"/>
      <c r="J137" s="7">
        <f t="shared" si="29"/>
        <v>1.1106148789311631E-3</v>
      </c>
      <c r="K137" s="3"/>
      <c r="L137" s="8">
        <f t="shared" si="30"/>
        <v>178.09000000000003</v>
      </c>
      <c r="M137" s="3"/>
      <c r="N137" s="7">
        <f t="shared" si="31"/>
        <v>0.37891489361702135</v>
      </c>
      <c r="O137" s="12"/>
      <c r="P137" s="8">
        <v>18132.54</v>
      </c>
      <c r="Q137" s="3"/>
      <c r="R137" s="7">
        <f t="shared" si="32"/>
        <v>2.2616834342032979E-3</v>
      </c>
      <c r="S137" s="3"/>
      <c r="T137" s="8">
        <v>6420</v>
      </c>
      <c r="U137" s="3"/>
      <c r="V137" s="7">
        <f t="shared" si="33"/>
        <v>7.0589585771074672E-4</v>
      </c>
      <c r="W137" s="3"/>
      <c r="X137" s="8">
        <f t="shared" si="34"/>
        <v>11712.54</v>
      </c>
      <c r="Y137" s="3"/>
      <c r="Z137" s="7">
        <f t="shared" si="35"/>
        <v>1.8243831775700936</v>
      </c>
    </row>
    <row r="138" spans="1:26" s="70" customFormat="1" ht="15" hidden="1" customHeight="1" outlineLevel="2" x14ac:dyDescent="0.25">
      <c r="A138" s="25"/>
      <c r="B138" s="12" t="str">
        <f>CONCATENATE("          ","6243"," - ","PAPER SUPPLIES")</f>
        <v xml:space="preserve">          6243 - PAPER SUPPLIES</v>
      </c>
      <c r="C138" s="12"/>
      <c r="D138" s="8">
        <v>3522.7</v>
      </c>
      <c r="E138" s="3"/>
      <c r="F138" s="7">
        <f t="shared" si="28"/>
        <v>3.7314070755070827E-3</v>
      </c>
      <c r="G138" s="3"/>
      <c r="H138" s="8">
        <v>3000</v>
      </c>
      <c r="I138" s="3"/>
      <c r="J138" s="7">
        <f t="shared" si="29"/>
        <v>7.0890311421138077E-3</v>
      </c>
      <c r="K138" s="3"/>
      <c r="L138" s="8">
        <f t="shared" si="30"/>
        <v>522.69999999999982</v>
      </c>
      <c r="M138" s="3"/>
      <c r="N138" s="7">
        <f t="shared" si="31"/>
        <v>0.17423333333333327</v>
      </c>
      <c r="O138" s="12"/>
      <c r="P138" s="8">
        <v>10812.44</v>
      </c>
      <c r="Q138" s="3"/>
      <c r="R138" s="7">
        <f t="shared" si="32"/>
        <v>1.3486426298421018E-3</v>
      </c>
      <c r="S138" s="3"/>
      <c r="T138" s="8">
        <v>39350</v>
      </c>
      <c r="U138" s="3"/>
      <c r="V138" s="7">
        <f t="shared" si="33"/>
        <v>4.3266358256881443E-3</v>
      </c>
      <c r="W138" s="3"/>
      <c r="X138" s="8">
        <f t="shared" si="34"/>
        <v>-28537.559999999998</v>
      </c>
      <c r="Y138" s="3"/>
      <c r="Z138" s="7">
        <f t="shared" si="35"/>
        <v>-0.72522388818297323</v>
      </c>
    </row>
    <row r="139" spans="1:26" s="70" customFormat="1" ht="15" hidden="1" customHeight="1" outlineLevel="2" x14ac:dyDescent="0.25">
      <c r="A139" s="25"/>
      <c r="B139" s="12" t="str">
        <f>CONCATENATE("          ","6245"," - ","PRINTING")</f>
        <v xml:space="preserve">          6245 - PRINTING</v>
      </c>
      <c r="C139" s="12"/>
      <c r="D139" s="8">
        <v>4762.72</v>
      </c>
      <c r="E139" s="3"/>
      <c r="F139" s="7">
        <f t="shared" si="28"/>
        <v>5.0448937197771866E-3</v>
      </c>
      <c r="G139" s="3"/>
      <c r="H139" s="8">
        <v>2300</v>
      </c>
      <c r="I139" s="3"/>
      <c r="J139" s="7">
        <f t="shared" si="29"/>
        <v>5.4349238756205859E-3</v>
      </c>
      <c r="K139" s="3"/>
      <c r="L139" s="8">
        <f t="shared" si="30"/>
        <v>2462.7200000000003</v>
      </c>
      <c r="M139" s="3"/>
      <c r="N139" s="7">
        <f t="shared" si="31"/>
        <v>1.0707478260869567</v>
      </c>
      <c r="O139" s="12"/>
      <c r="P139" s="8">
        <v>11703.4</v>
      </c>
      <c r="Q139" s="3"/>
      <c r="R139" s="7">
        <f t="shared" si="32"/>
        <v>1.4597726465158699E-3</v>
      </c>
      <c r="S139" s="3"/>
      <c r="T139" s="8">
        <v>10345</v>
      </c>
      <c r="U139" s="3"/>
      <c r="V139" s="7">
        <f t="shared" si="33"/>
        <v>1.1374599140214446E-3</v>
      </c>
      <c r="W139" s="3"/>
      <c r="X139" s="8">
        <f t="shared" si="34"/>
        <v>1358.3999999999996</v>
      </c>
      <c r="Y139" s="3"/>
      <c r="Z139" s="7">
        <f t="shared" si="35"/>
        <v>0.13130981150314158</v>
      </c>
    </row>
    <row r="140" spans="1:26" s="70" customFormat="1" ht="15" hidden="1" customHeight="1" outlineLevel="2" x14ac:dyDescent="0.25">
      <c r="A140" s="25"/>
      <c r="B140" s="12" t="str">
        <f>CONCATENATE("          ","6247"," - ","STORE SUPPLIES")</f>
        <v xml:space="preserve">          6247 - STORE SUPPLIES</v>
      </c>
      <c r="C140" s="12"/>
      <c r="D140" s="8">
        <v>9364.08</v>
      </c>
      <c r="E140" s="3"/>
      <c r="F140" s="7">
        <f t="shared" si="28"/>
        <v>9.9188674504256304E-3</v>
      </c>
      <c r="G140" s="3"/>
      <c r="H140" s="8">
        <v>7325</v>
      </c>
      <c r="I140" s="3"/>
      <c r="J140" s="7">
        <f t="shared" si="29"/>
        <v>1.7309051038661212E-2</v>
      </c>
      <c r="K140" s="3"/>
      <c r="L140" s="8">
        <f t="shared" si="30"/>
        <v>2039.08</v>
      </c>
      <c r="M140" s="3"/>
      <c r="N140" s="7">
        <f t="shared" si="31"/>
        <v>0.2783726962457338</v>
      </c>
      <c r="O140" s="12"/>
      <c r="P140" s="8">
        <v>59001.43</v>
      </c>
      <c r="Q140" s="3"/>
      <c r="R140" s="7">
        <f t="shared" si="32"/>
        <v>7.3592864995916446E-3</v>
      </c>
      <c r="S140" s="3"/>
      <c r="T140" s="8">
        <v>81230</v>
      </c>
      <c r="U140" s="3"/>
      <c r="V140" s="7">
        <f t="shared" si="33"/>
        <v>8.9314517946797439E-3</v>
      </c>
      <c r="W140" s="3"/>
      <c r="X140" s="8">
        <f t="shared" si="34"/>
        <v>-22228.57</v>
      </c>
      <c r="Y140" s="3"/>
      <c r="Z140" s="7">
        <f t="shared" si="35"/>
        <v>-0.27364975994090851</v>
      </c>
    </row>
    <row r="141" spans="1:26" s="69" customFormat="1" ht="15" customHeight="1" outlineLevel="1" collapsed="1" x14ac:dyDescent="0.25">
      <c r="A141" s="26"/>
      <c r="B141" s="14" t="str">
        <f>CONCATENATE("     ","Telephone/Data Lines                              ")</f>
        <v xml:space="preserve">     Telephone/Data Lines                              </v>
      </c>
      <c r="C141" s="14"/>
      <c r="D141" s="2">
        <f>SUM(OSRRefD22_22x_0)</f>
        <v>1907.69</v>
      </c>
      <c r="E141" s="2"/>
      <c r="F141" s="6">
        <f t="shared" si="28"/>
        <v>2.0207136468828194E-3</v>
      </c>
      <c r="G141" s="2"/>
      <c r="H141" s="2">
        <f>SUM(OSRRefH22_22x_0)</f>
        <v>1913</v>
      </c>
      <c r="I141" s="2"/>
      <c r="J141" s="6">
        <f t="shared" si="29"/>
        <v>4.5204388582879042E-3</v>
      </c>
      <c r="K141" s="2"/>
      <c r="L141" s="2">
        <f t="shared" si="30"/>
        <v>-5.3099999999999454</v>
      </c>
      <c r="M141" s="2"/>
      <c r="N141" s="6">
        <f t="shared" si="31"/>
        <v>-2.7757449032932281E-3</v>
      </c>
      <c r="O141" s="14"/>
      <c r="P141" s="2">
        <f>SUM(OSRRefP22_22x_0)</f>
        <v>22052.05</v>
      </c>
      <c r="Q141" s="2"/>
      <c r="R141" s="6">
        <f t="shared" si="32"/>
        <v>2.7505664498863828E-3</v>
      </c>
      <c r="S141" s="2"/>
      <c r="T141" s="2">
        <f>SUM(OSRRefT22_22x_0)</f>
        <v>21643</v>
      </c>
      <c r="U141" s="2"/>
      <c r="V141" s="6">
        <f t="shared" si="33"/>
        <v>2.3797046804413849E-3</v>
      </c>
      <c r="W141" s="2"/>
      <c r="X141" s="2">
        <f t="shared" si="34"/>
        <v>409.04999999999927</v>
      </c>
      <c r="Y141" s="2"/>
      <c r="Z141" s="6">
        <f t="shared" si="35"/>
        <v>1.8899875248348161E-2</v>
      </c>
    </row>
    <row r="142" spans="1:26" s="70" customFormat="1" ht="15" hidden="1" customHeight="1" outlineLevel="2" x14ac:dyDescent="0.25">
      <c r="A142" s="25"/>
      <c r="B142" s="12" t="str">
        <f>CONCATENATE("          ","6303"," - ","DATA PHONE LINES")</f>
        <v xml:space="preserve">          6303 - DATA PHONE LINES</v>
      </c>
      <c r="C142" s="12"/>
      <c r="D142" s="8"/>
      <c r="E142" s="3"/>
      <c r="F142" s="7">
        <f t="shared" si="28"/>
        <v>0</v>
      </c>
      <c r="G142" s="3"/>
      <c r="H142" s="8">
        <v>50</v>
      </c>
      <c r="I142" s="3"/>
      <c r="J142" s="7">
        <f t="shared" si="29"/>
        <v>1.1815051903523012E-4</v>
      </c>
      <c r="K142" s="3"/>
      <c r="L142" s="8">
        <f t="shared" si="30"/>
        <v>-50</v>
      </c>
      <c r="M142" s="3"/>
      <c r="N142" s="7">
        <f t="shared" si="31"/>
        <v>-1</v>
      </c>
      <c r="O142" s="12"/>
      <c r="P142" s="8">
        <v>295</v>
      </c>
      <c r="Q142" s="3"/>
      <c r="R142" s="7">
        <f t="shared" si="32"/>
        <v>3.6795540673836807E-5</v>
      </c>
      <c r="S142" s="3"/>
      <c r="T142" s="8">
        <v>550</v>
      </c>
      <c r="U142" s="3"/>
      <c r="V142" s="7">
        <f t="shared" si="33"/>
        <v>6.0473944196403539E-5</v>
      </c>
      <c r="W142" s="3"/>
      <c r="X142" s="8">
        <f t="shared" si="34"/>
        <v>-255</v>
      </c>
      <c r="Y142" s="3"/>
      <c r="Z142" s="7">
        <f t="shared" si="35"/>
        <v>-0.46363636363636362</v>
      </c>
    </row>
    <row r="143" spans="1:26" s="70" customFormat="1" ht="15" hidden="1" customHeight="1" outlineLevel="2" x14ac:dyDescent="0.25">
      <c r="A143" s="25"/>
      <c r="B143" s="12" t="str">
        <f>CONCATENATE("          ","6309"," - ","TELEPHONE")</f>
        <v xml:space="preserve">          6309 - TELEPHONE</v>
      </c>
      <c r="C143" s="12"/>
      <c r="D143" s="8">
        <v>1907.69</v>
      </c>
      <c r="E143" s="3"/>
      <c r="F143" s="7">
        <f t="shared" si="28"/>
        <v>2.0207136468828194E-3</v>
      </c>
      <c r="G143" s="3"/>
      <c r="H143" s="8">
        <v>1863</v>
      </c>
      <c r="I143" s="3"/>
      <c r="J143" s="7">
        <f t="shared" si="29"/>
        <v>4.4022883392526744E-3</v>
      </c>
      <c r="K143" s="3"/>
      <c r="L143" s="8">
        <f t="shared" si="30"/>
        <v>44.690000000000055</v>
      </c>
      <c r="M143" s="3"/>
      <c r="N143" s="7">
        <f t="shared" si="31"/>
        <v>2.3988191089640395E-2</v>
      </c>
      <c r="O143" s="12"/>
      <c r="P143" s="8">
        <v>21757.05</v>
      </c>
      <c r="Q143" s="3"/>
      <c r="R143" s="7">
        <f t="shared" si="32"/>
        <v>2.7137709092125459E-3</v>
      </c>
      <c r="S143" s="3"/>
      <c r="T143" s="8">
        <v>21093</v>
      </c>
      <c r="U143" s="3"/>
      <c r="V143" s="7">
        <f t="shared" si="33"/>
        <v>2.3192307362449815E-3</v>
      </c>
      <c r="W143" s="3"/>
      <c r="X143" s="8">
        <f t="shared" si="34"/>
        <v>664.04999999999927</v>
      </c>
      <c r="Y143" s="3"/>
      <c r="Z143" s="7">
        <f t="shared" si="35"/>
        <v>3.148200824918216E-2</v>
      </c>
    </row>
    <row r="144" spans="1:26" s="69" customFormat="1" ht="15" customHeight="1" outlineLevel="1" collapsed="1" x14ac:dyDescent="0.25">
      <c r="A144" s="26"/>
      <c r="B144" s="14" t="str">
        <f>CONCATENATE("     ","Training                                          ")</f>
        <v xml:space="preserve">     Training                                          </v>
      </c>
      <c r="C144" s="14"/>
      <c r="D144" s="2">
        <f>SUM(OSRRefD22_23x_0)</f>
        <v>5700</v>
      </c>
      <c r="E144" s="2"/>
      <c r="F144" s="6">
        <f t="shared" si="28"/>
        <v>6.0377041276266424E-3</v>
      </c>
      <c r="G144" s="2"/>
      <c r="H144" s="2">
        <f>SUM(OSRRefH22_23x_0)</f>
        <v>0</v>
      </c>
      <c r="I144" s="2"/>
      <c r="J144" s="6">
        <f t="shared" si="29"/>
        <v>0</v>
      </c>
      <c r="K144" s="2"/>
      <c r="L144" s="2">
        <f t="shared" si="30"/>
        <v>5700</v>
      </c>
      <c r="M144" s="2"/>
      <c r="N144" s="6">
        <f t="shared" si="31"/>
        <v>0</v>
      </c>
      <c r="O144" s="14"/>
      <c r="P144" s="2">
        <f>SUM(OSRRefP22_23x_0)</f>
        <v>7239</v>
      </c>
      <c r="Q144" s="2"/>
      <c r="R144" s="6">
        <f t="shared" si="32"/>
        <v>9.0292514894204962E-4</v>
      </c>
      <c r="S144" s="2"/>
      <c r="T144" s="2">
        <f>SUM(OSRRefT22_23x_0)</f>
        <v>2150</v>
      </c>
      <c r="U144" s="2"/>
      <c r="V144" s="6">
        <f t="shared" si="33"/>
        <v>2.3639814549503201E-4</v>
      </c>
      <c r="W144" s="2"/>
      <c r="X144" s="2">
        <f t="shared" si="34"/>
        <v>5089</v>
      </c>
      <c r="Y144" s="2"/>
      <c r="Z144" s="6">
        <f t="shared" si="35"/>
        <v>2.3669767441860463</v>
      </c>
    </row>
    <row r="145" spans="1:26" s="70" customFormat="1" ht="15" hidden="1" customHeight="1" outlineLevel="2" x14ac:dyDescent="0.25">
      <c r="A145" s="25"/>
      <c r="B145" s="12" t="str">
        <f>CONCATENATE("          ","6376"," - ","TRAINING")</f>
        <v xml:space="preserve">          6376 - TRAINING</v>
      </c>
      <c r="C145" s="12"/>
      <c r="D145" s="8">
        <v>5700</v>
      </c>
      <c r="E145" s="3"/>
      <c r="F145" s="7">
        <f t="shared" si="28"/>
        <v>6.0377041276266424E-3</v>
      </c>
      <c r="G145" s="3"/>
      <c r="H145" s="8">
        <v>0</v>
      </c>
      <c r="I145" s="3"/>
      <c r="J145" s="7">
        <f t="shared" si="29"/>
        <v>0</v>
      </c>
      <c r="K145" s="3"/>
      <c r="L145" s="8">
        <f t="shared" si="30"/>
        <v>5700</v>
      </c>
      <c r="M145" s="3"/>
      <c r="N145" s="7">
        <f t="shared" si="31"/>
        <v>0</v>
      </c>
      <c r="O145" s="12"/>
      <c r="P145" s="8">
        <v>7239</v>
      </c>
      <c r="Q145" s="3"/>
      <c r="R145" s="7">
        <f t="shared" si="32"/>
        <v>9.0292514894204962E-4</v>
      </c>
      <c r="S145" s="3"/>
      <c r="T145" s="8">
        <v>2150</v>
      </c>
      <c r="U145" s="3"/>
      <c r="V145" s="7">
        <f t="shared" si="33"/>
        <v>2.3639814549503201E-4</v>
      </c>
      <c r="W145" s="3"/>
      <c r="X145" s="8">
        <f t="shared" si="34"/>
        <v>5089</v>
      </c>
      <c r="Y145" s="3"/>
      <c r="Z145" s="7">
        <f t="shared" si="35"/>
        <v>2.3669767441860463</v>
      </c>
    </row>
    <row r="146" spans="1:26" s="69" customFormat="1" ht="15" customHeight="1" outlineLevel="1" collapsed="1" x14ac:dyDescent="0.25">
      <c r="A146" s="26"/>
      <c r="B146" s="14" t="str">
        <f>CONCATENATE("     ","Travel                                            ")</f>
        <v xml:space="preserve">     Travel                                            </v>
      </c>
      <c r="C146" s="14"/>
      <c r="D146" s="2">
        <f>SUM(OSRRefD22_24x_0)</f>
        <v>320.27</v>
      </c>
      <c r="E146" s="2"/>
      <c r="F146" s="6">
        <f t="shared" si="28"/>
        <v>3.3924482472894469E-4</v>
      </c>
      <c r="G146" s="2"/>
      <c r="H146" s="2">
        <f>SUM(OSRRefH22_24x_0)</f>
        <v>175</v>
      </c>
      <c r="I146" s="2"/>
      <c r="J146" s="6">
        <f t="shared" si="29"/>
        <v>4.1352681662330543E-4</v>
      </c>
      <c r="K146" s="2"/>
      <c r="L146" s="2">
        <f t="shared" si="30"/>
        <v>145.26999999999998</v>
      </c>
      <c r="M146" s="2"/>
      <c r="N146" s="6">
        <f t="shared" si="31"/>
        <v>0.83011428571428558</v>
      </c>
      <c r="O146" s="14"/>
      <c r="P146" s="2">
        <f>SUM(OSRRefP22_24x_0)</f>
        <v>1605.25</v>
      </c>
      <c r="Q146" s="2"/>
      <c r="R146" s="6">
        <f t="shared" si="32"/>
        <v>2.0022387005653062E-4</v>
      </c>
      <c r="S146" s="2"/>
      <c r="T146" s="2">
        <f>SUM(OSRRefT22_24x_0)</f>
        <v>2175</v>
      </c>
      <c r="U146" s="2"/>
      <c r="V146" s="6">
        <f t="shared" si="33"/>
        <v>2.3914696114032307E-4</v>
      </c>
      <c r="W146" s="2"/>
      <c r="X146" s="2">
        <f t="shared" si="34"/>
        <v>-569.75</v>
      </c>
      <c r="Y146" s="2"/>
      <c r="Z146" s="6">
        <f t="shared" si="35"/>
        <v>-0.26195402298850573</v>
      </c>
    </row>
    <row r="147" spans="1:26" s="70" customFormat="1" ht="15" hidden="1" customHeight="1" outlineLevel="2" x14ac:dyDescent="0.25">
      <c r="A147" s="25"/>
      <c r="B147" s="12" t="str">
        <f>CONCATENATE("          ","6292"," - ","TRAVEL/CONFERENCE")</f>
        <v xml:space="preserve">          6292 - TRAVEL/CONFERENCE</v>
      </c>
      <c r="C147" s="12"/>
      <c r="D147" s="8"/>
      <c r="E147" s="3"/>
      <c r="F147" s="7">
        <f t="shared" si="28"/>
        <v>0</v>
      </c>
      <c r="G147" s="3"/>
      <c r="H147" s="8">
        <v>125</v>
      </c>
      <c r="I147" s="3"/>
      <c r="J147" s="7">
        <f t="shared" si="29"/>
        <v>2.953762975880753E-4</v>
      </c>
      <c r="K147" s="3"/>
      <c r="L147" s="8">
        <f t="shared" si="30"/>
        <v>-125</v>
      </c>
      <c r="M147" s="3"/>
      <c r="N147" s="7">
        <f t="shared" si="31"/>
        <v>-1</v>
      </c>
      <c r="O147" s="12"/>
      <c r="P147" s="8">
        <v>495</v>
      </c>
      <c r="Q147" s="3"/>
      <c r="R147" s="7">
        <f t="shared" si="32"/>
        <v>6.1741669944234641E-5</v>
      </c>
      <c r="S147" s="3"/>
      <c r="T147" s="8">
        <v>1375</v>
      </c>
      <c r="U147" s="3"/>
      <c r="V147" s="7">
        <f t="shared" si="33"/>
        <v>1.5118486049100883E-4</v>
      </c>
      <c r="W147" s="3"/>
      <c r="X147" s="8">
        <f t="shared" si="34"/>
        <v>-880</v>
      </c>
      <c r="Y147" s="3"/>
      <c r="Z147" s="7">
        <f t="shared" si="35"/>
        <v>-0.64</v>
      </c>
    </row>
    <row r="148" spans="1:26" s="70" customFormat="1" ht="15" hidden="1" customHeight="1" outlineLevel="2" x14ac:dyDescent="0.25">
      <c r="A148" s="25"/>
      <c r="B148" s="12" t="str">
        <f>CONCATENATE("          ","6294"," - ","TRAVEL OPERATIONAL")</f>
        <v xml:space="preserve">          6294 - TRAVEL OPERATIONAL</v>
      </c>
      <c r="C148" s="12"/>
      <c r="D148" s="8">
        <v>207.39</v>
      </c>
      <c r="E148" s="3"/>
      <c r="F148" s="7">
        <f t="shared" si="28"/>
        <v>2.1967709807517357E-4</v>
      </c>
      <c r="G148" s="3"/>
      <c r="H148" s="8">
        <v>25</v>
      </c>
      <c r="I148" s="3"/>
      <c r="J148" s="7">
        <f t="shared" si="29"/>
        <v>5.9075259517615059E-5</v>
      </c>
      <c r="K148" s="3"/>
      <c r="L148" s="8">
        <f t="shared" si="30"/>
        <v>182.39</v>
      </c>
      <c r="M148" s="3"/>
      <c r="N148" s="7">
        <f t="shared" si="31"/>
        <v>7.2955999999999994</v>
      </c>
      <c r="O148" s="12"/>
      <c r="P148" s="8">
        <v>610.87</v>
      </c>
      <c r="Q148" s="3"/>
      <c r="R148" s="7">
        <f t="shared" si="32"/>
        <v>7.6194209937039631E-5</v>
      </c>
      <c r="S148" s="3"/>
      <c r="T148" s="8">
        <v>275</v>
      </c>
      <c r="U148" s="3"/>
      <c r="V148" s="7">
        <f t="shared" si="33"/>
        <v>3.023697209820177E-5</v>
      </c>
      <c r="W148" s="3"/>
      <c r="X148" s="8">
        <f t="shared" si="34"/>
        <v>335.87</v>
      </c>
      <c r="Y148" s="3"/>
      <c r="Z148" s="7">
        <f t="shared" si="35"/>
        <v>1.2213454545454545</v>
      </c>
    </row>
    <row r="149" spans="1:26" s="70" customFormat="1" ht="15" hidden="1" customHeight="1" outlineLevel="2" x14ac:dyDescent="0.25">
      <c r="A149" s="25"/>
      <c r="B149" s="12" t="str">
        <f>CONCATENATE("          ","6298"," - ","VEHICLE MILEAGE")</f>
        <v xml:space="preserve">          6298 - VEHICLE MILEAGE</v>
      </c>
      <c r="C149" s="12"/>
      <c r="D149" s="8">
        <v>112.88</v>
      </c>
      <c r="E149" s="3"/>
      <c r="F149" s="7">
        <f t="shared" si="28"/>
        <v>1.1956772665377112E-4</v>
      </c>
      <c r="G149" s="3"/>
      <c r="H149" s="8">
        <v>25</v>
      </c>
      <c r="I149" s="3"/>
      <c r="J149" s="7">
        <f t="shared" si="29"/>
        <v>5.9075259517615059E-5</v>
      </c>
      <c r="K149" s="3"/>
      <c r="L149" s="8">
        <f t="shared" si="30"/>
        <v>87.88</v>
      </c>
      <c r="M149" s="3"/>
      <c r="N149" s="7">
        <f t="shared" si="31"/>
        <v>3.5151999999999997</v>
      </c>
      <c r="O149" s="12"/>
      <c r="P149" s="8">
        <v>499.38</v>
      </c>
      <c r="Q149" s="3"/>
      <c r="R149" s="7">
        <f t="shared" si="32"/>
        <v>6.2287990175256358E-5</v>
      </c>
      <c r="S149" s="3"/>
      <c r="T149" s="8">
        <v>525</v>
      </c>
      <c r="U149" s="3"/>
      <c r="V149" s="7">
        <f t="shared" si="33"/>
        <v>5.772512855111247E-5</v>
      </c>
      <c r="W149" s="3"/>
      <c r="X149" s="8">
        <f t="shared" si="34"/>
        <v>-25.620000000000005</v>
      </c>
      <c r="Y149" s="3"/>
      <c r="Z149" s="7">
        <f t="shared" si="35"/>
        <v>-4.880000000000001E-2</v>
      </c>
    </row>
    <row r="150" spans="1:26" s="69" customFormat="1" ht="15" customHeight="1" outlineLevel="1" collapsed="1" x14ac:dyDescent="0.25">
      <c r="A150" s="26"/>
      <c r="B150" s="14" t="str">
        <f>CONCATENATE("     ","Utilities                                         ")</f>
        <v xml:space="preserve">     Utilities                                         </v>
      </c>
      <c r="C150" s="14"/>
      <c r="D150" s="2">
        <f>SUM(OSRRefD22_25x_0)</f>
        <v>29958.65</v>
      </c>
      <c r="E150" s="2"/>
      <c r="F150" s="6">
        <f t="shared" si="28"/>
        <v>3.1733590309319638E-2</v>
      </c>
      <c r="G150" s="2"/>
      <c r="H150" s="2">
        <f>SUM(OSRRefH22_25x_0)</f>
        <v>6120</v>
      </c>
      <c r="I150" s="2"/>
      <c r="J150" s="6">
        <f t="shared" si="29"/>
        <v>1.4461623529912166E-2</v>
      </c>
      <c r="K150" s="2"/>
      <c r="L150" s="2">
        <f t="shared" si="30"/>
        <v>23838.65</v>
      </c>
      <c r="M150" s="2"/>
      <c r="N150" s="6">
        <f t="shared" si="31"/>
        <v>3.8952042483660132</v>
      </c>
      <c r="O150" s="14"/>
      <c r="P150" s="2">
        <f>SUM(OSRRefP22_25x_0)</f>
        <v>86245.87</v>
      </c>
      <c r="Q150" s="2"/>
      <c r="R150" s="6">
        <f t="shared" si="32"/>
        <v>1.0757503110289631E-2</v>
      </c>
      <c r="S150" s="2"/>
      <c r="T150" s="2">
        <f>SUM(OSRRefT22_25x_0)</f>
        <v>70000</v>
      </c>
      <c r="U150" s="2"/>
      <c r="V150" s="6">
        <f t="shared" si="33"/>
        <v>7.6966838068149961E-3</v>
      </c>
      <c r="W150" s="2"/>
      <c r="X150" s="2">
        <f t="shared" si="34"/>
        <v>16245.869999999995</v>
      </c>
      <c r="Y150" s="2"/>
      <c r="Z150" s="6">
        <f t="shared" si="35"/>
        <v>0.23208385714285706</v>
      </c>
    </row>
    <row r="151" spans="1:26" s="70" customFormat="1" ht="15" hidden="1" customHeight="1" outlineLevel="2" x14ac:dyDescent="0.25">
      <c r="A151" s="25"/>
      <c r="B151" s="12" t="str">
        <f>CONCATENATE("          ","6274"," - ","UTILITIES")</f>
        <v xml:space="preserve">          6274 - UTILITIES</v>
      </c>
      <c r="C151" s="12"/>
      <c r="D151" s="8">
        <v>29958.65</v>
      </c>
      <c r="E151" s="3"/>
      <c r="F151" s="7">
        <f t="shared" si="28"/>
        <v>3.1733590309319638E-2</v>
      </c>
      <c r="G151" s="3"/>
      <c r="H151" s="8">
        <v>6120</v>
      </c>
      <c r="I151" s="3"/>
      <c r="J151" s="7">
        <f t="shared" si="29"/>
        <v>1.4461623529912166E-2</v>
      </c>
      <c r="K151" s="3"/>
      <c r="L151" s="8">
        <f t="shared" si="30"/>
        <v>23838.65</v>
      </c>
      <c r="M151" s="3"/>
      <c r="N151" s="7">
        <f t="shared" si="31"/>
        <v>3.8952042483660132</v>
      </c>
      <c r="O151" s="12"/>
      <c r="P151" s="8">
        <v>86245.87</v>
      </c>
      <c r="Q151" s="3"/>
      <c r="R151" s="7">
        <f t="shared" si="32"/>
        <v>1.0757503110289631E-2</v>
      </c>
      <c r="S151" s="3"/>
      <c r="T151" s="8">
        <v>70000</v>
      </c>
      <c r="U151" s="3"/>
      <c r="V151" s="7">
        <f t="shared" si="33"/>
        <v>7.6966838068149961E-3</v>
      </c>
      <c r="W151" s="3"/>
      <c r="X151" s="8">
        <f t="shared" si="34"/>
        <v>16245.869999999995</v>
      </c>
      <c r="Y151" s="3"/>
      <c r="Z151" s="7">
        <f t="shared" si="35"/>
        <v>0.23208385714285706</v>
      </c>
    </row>
    <row r="152" spans="1:26" s="65" customFormat="1" ht="15" customHeight="1" x14ac:dyDescent="0.25">
      <c r="A152" s="35"/>
      <c r="B152" s="35"/>
      <c r="C152" s="35"/>
      <c r="D152" s="2"/>
      <c r="E152" s="2"/>
      <c r="F152" s="6"/>
      <c r="G152" s="2"/>
      <c r="H152" s="2"/>
      <c r="I152" s="2"/>
      <c r="J152" s="6"/>
      <c r="K152" s="2"/>
      <c r="L152" s="2"/>
      <c r="M152" s="2"/>
      <c r="N152" s="6"/>
      <c r="O152" s="35"/>
      <c r="P152" s="2"/>
      <c r="Q152" s="2"/>
      <c r="R152" s="6"/>
      <c r="S152" s="2"/>
      <c r="T152" s="2"/>
      <c r="U152" s="2"/>
      <c r="V152" s="6"/>
      <c r="W152" s="2"/>
      <c r="X152" s="2"/>
      <c r="Y152" s="2"/>
      <c r="Z152" s="6"/>
    </row>
    <row r="153" spans="1:26" s="63" customFormat="1" ht="15" customHeight="1" collapsed="1" x14ac:dyDescent="0.25">
      <c r="A153" s="11"/>
      <c r="B153" s="27" t="s">
        <v>291</v>
      </c>
      <c r="C153" s="11"/>
      <c r="D153" s="5">
        <f>SUM(OSRRefD25x_0)</f>
        <v>440339.5</v>
      </c>
      <c r="E153" s="5"/>
      <c r="F153" s="13">
        <f t="shared" ref="F153:F158" si="36">IF(D$12=0,0,D153/D$12)</f>
        <v>0.46642800293106174</v>
      </c>
      <c r="G153" s="5"/>
      <c r="H153" s="5">
        <f>SUM(OSRRefH25x_0)</f>
        <v>302754</v>
      </c>
      <c r="I153" s="5"/>
      <c r="J153" s="13">
        <f t="shared" ref="J153:J158" si="37">IF(H$12=0,0,H153/H$12)</f>
        <v>0.71541084479984118</v>
      </c>
      <c r="K153" s="5"/>
      <c r="L153" s="5">
        <f t="shared" ref="L153:L158" si="38">+D153-H153</f>
        <v>137585.5</v>
      </c>
      <c r="M153" s="5"/>
      <c r="N153" s="13">
        <f t="shared" ref="N153:N158" si="39">IF(H153=0,0,L153/H153)</f>
        <v>0.45444651433176769</v>
      </c>
      <c r="O153" s="11"/>
      <c r="P153" s="5">
        <f>SUM(OSRRefP25x_0)</f>
        <v>1406300.6099999999</v>
      </c>
      <c r="Q153" s="5"/>
      <c r="R153" s="13">
        <f t="shared" ref="R153:R158" si="40">IF(P$12=0,0,P153/P$12)</f>
        <v>0.17540878405049662</v>
      </c>
      <c r="S153" s="5"/>
      <c r="T153" s="5">
        <f>SUM(OSRRefT25x_0)</f>
        <v>1040052.23</v>
      </c>
      <c r="U153" s="5"/>
      <c r="V153" s="13">
        <f t="shared" ref="V153:V158" si="41">IF(T$12=0,0,T153/T$12)</f>
        <v>0.11435647366975464</v>
      </c>
      <c r="W153" s="5"/>
      <c r="X153" s="5">
        <f t="shared" ref="X153:X158" si="42">+P153-T153</f>
        <v>366248.37999999989</v>
      </c>
      <c r="Y153" s="5"/>
      <c r="Z153" s="13">
        <f t="shared" ref="Z153:Z158" si="43">IF(T153=0,0,X153/T153)</f>
        <v>0.3521442187571675</v>
      </c>
    </row>
    <row r="154" spans="1:26" s="70" customFormat="1" ht="15" hidden="1" customHeight="1" outlineLevel="1" x14ac:dyDescent="0.25">
      <c r="A154" s="42"/>
      <c r="B154" s="12" t="str">
        <f>CONCATENATE("          ","9150"," - ","MISC. INCOME")</f>
        <v xml:space="preserve">          9150 - MISC. INCOME</v>
      </c>
      <c r="C154" s="12"/>
      <c r="D154" s="3">
        <f>--53704.78</f>
        <v>53704.78</v>
      </c>
      <c r="E154" s="3"/>
      <c r="F154" s="20">
        <f t="shared" si="36"/>
        <v>5.6886591557768554E-2</v>
      </c>
      <c r="G154" s="3"/>
      <c r="H154" s="3">
        <v>9754</v>
      </c>
      <c r="I154" s="3"/>
      <c r="J154" s="20">
        <f t="shared" si="37"/>
        <v>2.3048803253392692E-2</v>
      </c>
      <c r="K154" s="3"/>
      <c r="L154" s="3">
        <f t="shared" si="38"/>
        <v>43950.78</v>
      </c>
      <c r="M154" s="3"/>
      <c r="N154" s="20">
        <f t="shared" si="39"/>
        <v>4.5059237236005742</v>
      </c>
      <c r="O154" s="12"/>
      <c r="P154" s="3">
        <f>--435196.06</f>
        <v>435196.06</v>
      </c>
      <c r="Q154" s="3"/>
      <c r="R154" s="20">
        <f t="shared" si="40"/>
        <v>5.4282285853639062E-2</v>
      </c>
      <c r="S154" s="3"/>
      <c r="T154" s="3">
        <v>173524</v>
      </c>
      <c r="U154" s="3"/>
      <c r="V154" s="20">
        <f t="shared" si="41"/>
        <v>1.9079419441339503E-2</v>
      </c>
      <c r="W154" s="3"/>
      <c r="X154" s="3">
        <f t="shared" si="42"/>
        <v>261672.06</v>
      </c>
      <c r="Y154" s="3"/>
      <c r="Z154" s="20">
        <f t="shared" si="43"/>
        <v>1.5079877135151334</v>
      </c>
    </row>
    <row r="155" spans="1:26" s="70" customFormat="1" ht="15" hidden="1" customHeight="1" outlineLevel="1" x14ac:dyDescent="0.25">
      <c r="A155" s="42"/>
      <c r="B155" s="12" t="str">
        <f>CONCATENATE("          ","9151"," - ","MISC. INCOME")</f>
        <v xml:space="preserve">          9151 - MISC. INCOME</v>
      </c>
      <c r="C155" s="12"/>
      <c r="D155" s="3">
        <f>--626.04</f>
        <v>626.04</v>
      </c>
      <c r="E155" s="3"/>
      <c r="F155" s="20">
        <f t="shared" si="36"/>
        <v>6.6313057755427768E-4</v>
      </c>
      <c r="G155" s="3"/>
      <c r="H155" s="3">
        <v>293000</v>
      </c>
      <c r="I155" s="3"/>
      <c r="J155" s="20">
        <f t="shared" si="37"/>
        <v>0.69236204154644854</v>
      </c>
      <c r="K155" s="3"/>
      <c r="L155" s="3">
        <f t="shared" si="38"/>
        <v>-292373.96000000002</v>
      </c>
      <c r="M155" s="3"/>
      <c r="N155" s="20">
        <f t="shared" si="39"/>
        <v>-0.99786334470989768</v>
      </c>
      <c r="O155" s="12"/>
      <c r="P155" s="3">
        <f>--324387.74</f>
        <v>324387.74</v>
      </c>
      <c r="Q155" s="3"/>
      <c r="R155" s="20">
        <f t="shared" si="40"/>
        <v>4.046109247886101E-2</v>
      </c>
      <c r="S155" s="3"/>
      <c r="T155" s="3">
        <v>749862.23</v>
      </c>
      <c r="U155" s="3"/>
      <c r="V155" s="20">
        <f t="shared" si="41"/>
        <v>8.2449321185474031E-2</v>
      </c>
      <c r="W155" s="3"/>
      <c r="X155" s="3">
        <f t="shared" si="42"/>
        <v>-425474.49</v>
      </c>
      <c r="Y155" s="3"/>
      <c r="Z155" s="20">
        <f t="shared" si="43"/>
        <v>-0.56740354824912309</v>
      </c>
    </row>
    <row r="156" spans="1:26" s="70" customFormat="1" ht="15" hidden="1" customHeight="1" outlineLevel="1" x14ac:dyDescent="0.25">
      <c r="A156" s="42"/>
      <c r="B156" s="12" t="str">
        <f>CONCATENATE("          ","9152"," - ","MISC. INCOME")</f>
        <v xml:space="preserve">          9152 - MISC. INCOME</v>
      </c>
      <c r="C156" s="12"/>
      <c r="D156" s="3">
        <f>--1358.68</f>
        <v>1358.68</v>
      </c>
      <c r="E156" s="3"/>
      <c r="F156" s="20">
        <f t="shared" si="36"/>
        <v>1.4391768147585557E-3</v>
      </c>
      <c r="G156" s="3"/>
      <c r="H156" s="3"/>
      <c r="I156" s="3"/>
      <c r="J156" s="20">
        <f t="shared" si="37"/>
        <v>0</v>
      </c>
      <c r="K156" s="3"/>
      <c r="L156" s="3">
        <f t="shared" si="38"/>
        <v>1358.68</v>
      </c>
      <c r="M156" s="3"/>
      <c r="N156" s="20">
        <f t="shared" si="39"/>
        <v>0</v>
      </c>
      <c r="O156" s="12"/>
      <c r="P156" s="3">
        <f>--5247.11</f>
        <v>5247.11</v>
      </c>
      <c r="Q156" s="3"/>
      <c r="R156" s="20">
        <f t="shared" si="40"/>
        <v>6.5447542177998589E-4</v>
      </c>
      <c r="S156" s="3"/>
      <c r="T156" s="3"/>
      <c r="U156" s="3"/>
      <c r="V156" s="20">
        <f t="shared" si="41"/>
        <v>0</v>
      </c>
      <c r="W156" s="3"/>
      <c r="X156" s="3">
        <f t="shared" si="42"/>
        <v>5247.11</v>
      </c>
      <c r="Y156" s="3"/>
      <c r="Z156" s="20">
        <f t="shared" si="43"/>
        <v>0</v>
      </c>
    </row>
    <row r="157" spans="1:26" s="70" customFormat="1" ht="15" hidden="1" customHeight="1" outlineLevel="1" x14ac:dyDescent="0.25">
      <c r="A157" s="42"/>
      <c r="B157" s="12" t="str">
        <f>CONCATENATE("          ","9160"," - ","MISC. INCOME")</f>
        <v xml:space="preserve">          9160 - MISC. INCOME</v>
      </c>
      <c r="C157" s="12"/>
      <c r="D157" s="3">
        <f>0</f>
        <v>0</v>
      </c>
      <c r="E157" s="3"/>
      <c r="F157" s="20">
        <f t="shared" si="36"/>
        <v>0</v>
      </c>
      <c r="G157" s="3"/>
      <c r="H157" s="3">
        <v>0</v>
      </c>
      <c r="I157" s="3"/>
      <c r="J157" s="20">
        <f t="shared" si="37"/>
        <v>0</v>
      </c>
      <c r="K157" s="3"/>
      <c r="L157" s="3">
        <f t="shared" si="38"/>
        <v>0</v>
      </c>
      <c r="M157" s="3"/>
      <c r="N157" s="20">
        <f t="shared" si="39"/>
        <v>0</v>
      </c>
      <c r="O157" s="12"/>
      <c r="P157" s="3">
        <f>0</f>
        <v>0</v>
      </c>
      <c r="Q157" s="3"/>
      <c r="R157" s="20">
        <f t="shared" si="40"/>
        <v>0</v>
      </c>
      <c r="S157" s="3"/>
      <c r="T157" s="3">
        <v>116666</v>
      </c>
      <c r="U157" s="3"/>
      <c r="V157" s="20">
        <f t="shared" si="41"/>
        <v>1.2827733042941119E-2</v>
      </c>
      <c r="W157" s="3"/>
      <c r="X157" s="3">
        <f t="shared" si="42"/>
        <v>-116666</v>
      </c>
      <c r="Y157" s="3"/>
      <c r="Z157" s="20">
        <f t="shared" si="43"/>
        <v>-1</v>
      </c>
    </row>
    <row r="158" spans="1:26" s="70" customFormat="1" ht="15" hidden="1" customHeight="1" outlineLevel="1" x14ac:dyDescent="0.25">
      <c r="A158" s="42"/>
      <c r="B158" s="12" t="str">
        <f>CONCATENATE("          ","9163"," - ","MISC. INCOME")</f>
        <v xml:space="preserve">          9163 - MISC. INCOME</v>
      </c>
      <c r="C158" s="12"/>
      <c r="D158" s="3">
        <f>--384650</f>
        <v>384650</v>
      </c>
      <c r="E158" s="3"/>
      <c r="F158" s="20">
        <f t="shared" si="36"/>
        <v>0.40743910398098038</v>
      </c>
      <c r="G158" s="3"/>
      <c r="H158" s="3"/>
      <c r="I158" s="3"/>
      <c r="J158" s="20">
        <f t="shared" si="37"/>
        <v>0</v>
      </c>
      <c r="K158" s="3"/>
      <c r="L158" s="3">
        <f t="shared" si="38"/>
        <v>384650</v>
      </c>
      <c r="M158" s="3"/>
      <c r="N158" s="20">
        <f t="shared" si="39"/>
        <v>0</v>
      </c>
      <c r="O158" s="12"/>
      <c r="P158" s="3">
        <f>--641469.7</f>
        <v>641469.69999999995</v>
      </c>
      <c r="Q158" s="3"/>
      <c r="R158" s="20">
        <f t="shared" si="40"/>
        <v>8.0010930296216587E-2</v>
      </c>
      <c r="S158" s="3"/>
      <c r="T158" s="3"/>
      <c r="U158" s="3"/>
      <c r="V158" s="20">
        <f t="shared" si="41"/>
        <v>0</v>
      </c>
      <c r="W158" s="3"/>
      <c r="X158" s="3">
        <f t="shared" si="42"/>
        <v>641469.69999999995</v>
      </c>
      <c r="Y158" s="3"/>
      <c r="Z158" s="20">
        <f t="shared" si="43"/>
        <v>0</v>
      </c>
    </row>
    <row r="159" spans="1:26" ht="15" customHeight="1" x14ac:dyDescent="0.25">
      <c r="A159" s="10"/>
      <c r="B159" s="11"/>
      <c r="C159" s="11"/>
      <c r="D159" s="4"/>
      <c r="E159" s="4"/>
      <c r="F159" s="9"/>
      <c r="G159" s="4"/>
      <c r="H159" s="4"/>
      <c r="I159" s="4"/>
      <c r="J159" s="9"/>
      <c r="K159" s="4"/>
      <c r="L159" s="4"/>
      <c r="M159" s="4"/>
      <c r="N159" s="9"/>
      <c r="O159" s="11"/>
      <c r="P159" s="4"/>
      <c r="Q159" s="4"/>
      <c r="R159" s="9"/>
      <c r="S159" s="4"/>
      <c r="T159" s="4"/>
      <c r="U159" s="4"/>
      <c r="V159" s="9"/>
      <c r="W159" s="4"/>
      <c r="X159" s="4"/>
      <c r="Y159" s="4"/>
      <c r="Z159" s="9"/>
    </row>
    <row r="160" spans="1:26" s="63" customFormat="1" ht="15" customHeight="1" x14ac:dyDescent="0.25">
      <c r="A160" s="11"/>
      <c r="B160" s="28" t="s">
        <v>292</v>
      </c>
      <c r="C160" s="28"/>
      <c r="D160" s="22">
        <f>+D56-D58+D153</f>
        <v>604428.79999999993</v>
      </c>
      <c r="E160" s="15"/>
      <c r="F160" s="21">
        <f>IF(D$12=0,0,D160/D$12)</f>
        <v>0.64023899309059962</v>
      </c>
      <c r="G160" s="15"/>
      <c r="H160" s="22">
        <f>+H56-H58+H153</f>
        <v>208761.50437743717</v>
      </c>
      <c r="I160" s="15"/>
      <c r="J160" s="21">
        <f>IF(H$12=0,0,H160/H$12)</f>
        <v>0.49330560193539336</v>
      </c>
      <c r="K160" s="16"/>
      <c r="L160" s="22">
        <f>+D160-H160</f>
        <v>395667.29562256276</v>
      </c>
      <c r="M160" s="16"/>
      <c r="N160" s="21">
        <f>IF(H160=0,0,L160/H160)</f>
        <v>1.8953077426918861</v>
      </c>
      <c r="O160" s="27"/>
      <c r="P160" s="22">
        <f>+P56-P58+P153</f>
        <v>1215237.3500000015</v>
      </c>
      <c r="Q160" s="15"/>
      <c r="R160" s="21">
        <f>IF(P$12=0,0,P160/P$12)</f>
        <v>0.15157734013657867</v>
      </c>
      <c r="S160" s="15"/>
      <c r="T160" s="22">
        <f>+T56-T58+T153</f>
        <v>607116.85392915411</v>
      </c>
      <c r="U160" s="15"/>
      <c r="V160" s="21">
        <f>IF(T$12=0,0,T160/T$12)</f>
        <v>6.6754092264014075E-2</v>
      </c>
      <c r="W160" s="16"/>
      <c r="X160" s="22">
        <f>+P160-T160</f>
        <v>608120.49607084738</v>
      </c>
      <c r="Y160" s="16"/>
      <c r="Z160" s="21">
        <f>IF(T160=0,0,X160/T160)</f>
        <v>1.0016531284466867</v>
      </c>
    </row>
    <row r="161" spans="1:26" ht="15" customHeight="1" x14ac:dyDescent="0.25">
      <c r="A161" s="10"/>
      <c r="B161" s="11"/>
      <c r="C161" s="10"/>
      <c r="D161" s="4"/>
      <c r="E161" s="4"/>
      <c r="F161" s="9"/>
      <c r="G161" s="4"/>
      <c r="H161" s="4"/>
      <c r="I161" s="4"/>
      <c r="J161" s="9"/>
      <c r="K161" s="4"/>
      <c r="L161" s="4"/>
      <c r="M161" s="4"/>
      <c r="N161" s="9"/>
      <c r="P161" s="4"/>
      <c r="Q161" s="4"/>
      <c r="R161" s="9"/>
      <c r="S161" s="4"/>
      <c r="T161" s="4"/>
      <c r="U161" s="4"/>
      <c r="V161" s="9"/>
      <c r="W161" s="4"/>
      <c r="X161" s="4"/>
      <c r="Y161" s="4"/>
      <c r="Z161" s="9"/>
    </row>
    <row r="162" spans="1:26" s="63" customFormat="1" ht="15" customHeight="1" x14ac:dyDescent="0.25">
      <c r="A162" s="49"/>
      <c r="B162" s="11" t="s">
        <v>293</v>
      </c>
      <c r="C162" s="11"/>
      <c r="D162" s="5">
        <v>100064.6</v>
      </c>
      <c r="E162" s="5"/>
      <c r="F162" s="13">
        <f>IF(D$12=0,0,D162/D$12)</f>
        <v>0.10599306113145772</v>
      </c>
      <c r="G162" s="5"/>
      <c r="H162" s="5">
        <v>60678</v>
      </c>
      <c r="I162" s="5"/>
      <c r="J162" s="13">
        <f>IF(H$12=0,0,H162/H$12)</f>
        <v>0.14338274388039388</v>
      </c>
      <c r="K162" s="5"/>
      <c r="L162" s="5">
        <f>+D162-H162</f>
        <v>39386.600000000006</v>
      </c>
      <c r="M162" s="5"/>
      <c r="N162" s="13">
        <f>IF(H162=0,0,L162/H162)</f>
        <v>0.64910840831932504</v>
      </c>
      <c r="O162" s="11"/>
      <c r="P162" s="5">
        <v>901345.08</v>
      </c>
      <c r="Q162" s="5"/>
      <c r="R162" s="13">
        <f>IF(P$12=0,0,P162/P$12)</f>
        <v>0.11242535441458539</v>
      </c>
      <c r="S162" s="5"/>
      <c r="T162" s="5">
        <v>1127415</v>
      </c>
      <c r="U162" s="5"/>
      <c r="V162" s="13">
        <f>IF(T$12=0,0,T162/T$12)</f>
        <v>0.12396223962943326</v>
      </c>
      <c r="W162" s="5"/>
      <c r="X162" s="5">
        <f>+P162-T162</f>
        <v>-226069.92000000004</v>
      </c>
      <c r="Y162" s="5"/>
      <c r="Z162" s="13">
        <f>IF(T162=0,0,X162/T162)</f>
        <v>-0.20052058913532289</v>
      </c>
    </row>
    <row r="163" spans="1:26" ht="15" customHeight="1" x14ac:dyDescent="0.25">
      <c r="A163" s="10"/>
      <c r="B163" s="11"/>
      <c r="C163" s="11"/>
      <c r="D163" s="4"/>
      <c r="E163" s="4"/>
      <c r="F163" s="9"/>
      <c r="G163" s="4"/>
      <c r="H163" s="4"/>
      <c r="I163" s="4"/>
      <c r="J163" s="9"/>
      <c r="K163" s="4"/>
      <c r="L163" s="4"/>
      <c r="M163" s="4"/>
      <c r="N163" s="9"/>
      <c r="O163" s="11"/>
      <c r="P163" s="4"/>
      <c r="Q163" s="4"/>
      <c r="R163" s="9"/>
      <c r="S163" s="4"/>
      <c r="T163" s="4"/>
      <c r="U163" s="4"/>
      <c r="V163" s="9"/>
      <c r="W163" s="4"/>
      <c r="X163" s="4"/>
      <c r="Y163" s="4"/>
      <c r="Z163" s="9"/>
    </row>
    <row r="164" spans="1:26" s="63" customFormat="1" ht="15" customHeight="1" x14ac:dyDescent="0.25">
      <c r="A164" s="11"/>
      <c r="B164" s="28" t="s">
        <v>294</v>
      </c>
      <c r="C164" s="28"/>
      <c r="D164" s="34">
        <f>+D160-D162</f>
        <v>504364.19999999995</v>
      </c>
      <c r="E164" s="15"/>
      <c r="F164" s="32">
        <f>IF(D$12=0,0,D164/D$12)</f>
        <v>0.53424593195914194</v>
      </c>
      <c r="G164" s="15"/>
      <c r="H164" s="34">
        <f>+H160-H162</f>
        <v>148083.50437743717</v>
      </c>
      <c r="I164" s="15"/>
      <c r="J164" s="32">
        <f>IF(H$12=0,0,H164/H$12)</f>
        <v>0.34992285805499945</v>
      </c>
      <c r="K164" s="16"/>
      <c r="L164" s="34">
        <f>D164-H164</f>
        <v>356280.69562256278</v>
      </c>
      <c r="M164" s="16"/>
      <c r="N164" s="32">
        <f>IF(H164=0,0,L164/H164)</f>
        <v>2.405944518401387</v>
      </c>
      <c r="O164" s="27"/>
      <c r="P164" s="34">
        <f>+P160-P162</f>
        <v>313892.27000000153</v>
      </c>
      <c r="Q164" s="15"/>
      <c r="R164" s="32">
        <f>IF(P$12=0,0,P164/P$12)</f>
        <v>3.9151985721993292E-2</v>
      </c>
      <c r="S164" s="15"/>
      <c r="T164" s="34">
        <f>+T160-T162</f>
        <v>-520298.14607084589</v>
      </c>
      <c r="U164" s="15"/>
      <c r="V164" s="32">
        <f>IF(T$12=0,0,T164/T$12)</f>
        <v>-5.7208147365419182E-2</v>
      </c>
      <c r="W164" s="16"/>
      <c r="X164" s="34">
        <f>P164-T164</f>
        <v>834190.41607084742</v>
      </c>
      <c r="Y164" s="16"/>
      <c r="Z164" s="32">
        <f>IF(T164=0,0,X164/T164)</f>
        <v>-1.6032930779600754</v>
      </c>
    </row>
    <row r="165" spans="1:26" ht="15" customHeight="1" x14ac:dyDescent="0.25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ht="15" customHeight="1" x14ac:dyDescent="0.25">
      <c r="A166" s="10"/>
      <c r="B166" s="10"/>
      <c r="C166" s="10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3" customFormat="1" ht="15" customHeight="1" x14ac:dyDescent="0.25">
      <c r="A167" s="11"/>
      <c r="B167" s="28" t="s">
        <v>297</v>
      </c>
      <c r="C167" s="28"/>
      <c r="D167" s="30">
        <f>SUM(D164:D166)</f>
        <v>504364.19999999995</v>
      </c>
      <c r="E167" s="15"/>
      <c r="F167" s="33">
        <f>IF(D$12=0,0,D167/D$12)</f>
        <v>0.53424593195914194</v>
      </c>
      <c r="G167" s="15"/>
      <c r="H167" s="30">
        <f>SUM(H164:H166)</f>
        <v>148083.50437743717</v>
      </c>
      <c r="I167" s="15"/>
      <c r="J167" s="33">
        <f>IF(H$12=0,0,H167/H$12)</f>
        <v>0.34992285805499945</v>
      </c>
      <c r="K167" s="16"/>
      <c r="L167" s="30">
        <f>+D167-H167</f>
        <v>356280.69562256278</v>
      </c>
      <c r="M167" s="16"/>
      <c r="N167" s="33">
        <f>IF(H167=0,0,L167/H167)</f>
        <v>2.405944518401387</v>
      </c>
      <c r="O167" s="27"/>
      <c r="P167" s="30">
        <f>SUM(P164:P166)</f>
        <v>313892.27000000153</v>
      </c>
      <c r="Q167" s="15"/>
      <c r="R167" s="33">
        <f>IF(P$12=0,0,P167/P$12)</f>
        <v>3.9151985721993292E-2</v>
      </c>
      <c r="S167" s="15"/>
      <c r="T167" s="30">
        <f>SUM(T164:T166)</f>
        <v>-520298.14607084589</v>
      </c>
      <c r="U167" s="15"/>
      <c r="V167" s="33">
        <f>IF(T$12=0,0,T167/T$12)</f>
        <v>-5.7208147365419182E-2</v>
      </c>
      <c r="W167" s="16"/>
      <c r="X167" s="30">
        <f>+P167-T167</f>
        <v>834190.41607084742</v>
      </c>
      <c r="Y167" s="16"/>
      <c r="Z167" s="33">
        <f>IF(T167=0,0,X167/T167)</f>
        <v>-1.6032930779600754</v>
      </c>
    </row>
    <row r="168" spans="1:26" ht="15" customHeight="1" x14ac:dyDescent="0.25">
      <c r="A168" s="10"/>
      <c r="C168" s="10"/>
      <c r="D168" s="18"/>
      <c r="E168" s="18"/>
      <c r="G168" s="18"/>
      <c r="H168" s="18"/>
      <c r="I168" s="18"/>
      <c r="J168" s="40"/>
      <c r="K168" s="18"/>
      <c r="L168" s="18"/>
      <c r="M168" s="18"/>
      <c r="P168" s="18"/>
      <c r="Q168" s="18"/>
      <c r="R168" s="40"/>
      <c r="S168" s="18"/>
      <c r="T168" s="18"/>
      <c r="U168" s="18"/>
      <c r="V168" s="40"/>
      <c r="W168" s="18"/>
      <c r="X168" s="18"/>
    </row>
    <row r="169" spans="1:26" ht="15" customHeight="1" x14ac:dyDescent="0.25">
      <c r="A169" s="10"/>
      <c r="B169" s="54">
        <v>44727.874503043982</v>
      </c>
      <c r="D169" s="18"/>
      <c r="E169" s="18"/>
      <c r="G169" s="18"/>
      <c r="H169" s="18"/>
      <c r="I169" s="18"/>
      <c r="J169" s="40"/>
      <c r="K169" s="18"/>
      <c r="L169" s="18"/>
      <c r="M169" s="18"/>
      <c r="P169" s="18"/>
      <c r="Q169" s="18"/>
      <c r="R169" s="40"/>
      <c r="S169" s="18"/>
      <c r="T169" s="18"/>
      <c r="U169" s="18"/>
      <c r="V169" s="40"/>
      <c r="W169" s="18"/>
      <c r="X169" s="18"/>
    </row>
    <row r="170" spans="1:26" ht="15" customHeight="1" x14ac:dyDescent="0.25">
      <c r="A170" s="10"/>
      <c r="B170" s="50" t="s">
        <v>298</v>
      </c>
      <c r="D170" s="18"/>
      <c r="E170" s="18"/>
      <c r="G170" s="18"/>
      <c r="H170" s="18"/>
      <c r="I170" s="18"/>
      <c r="J170" s="40"/>
      <c r="K170" s="18"/>
      <c r="L170" s="18"/>
      <c r="M170" s="18"/>
      <c r="P170" s="18"/>
      <c r="Q170" s="18"/>
      <c r="R170" s="40"/>
      <c r="S170" s="18"/>
      <c r="T170" s="18"/>
      <c r="U170" s="18"/>
      <c r="V170" s="40"/>
      <c r="W170" s="18"/>
      <c r="X170" s="18"/>
    </row>
    <row r="171" spans="1:26" ht="15" customHeight="1" x14ac:dyDescent="0.25">
      <c r="A171" s="10"/>
      <c r="B171" s="58"/>
      <c r="D171" s="18"/>
      <c r="E171" s="18"/>
      <c r="G171" s="18"/>
      <c r="H171" s="18"/>
      <c r="I171" s="18"/>
      <c r="J171" s="40"/>
      <c r="K171" s="18"/>
      <c r="L171" s="18"/>
      <c r="M171" s="18"/>
      <c r="P171" s="18"/>
      <c r="Q171" s="18"/>
      <c r="R171" s="40"/>
      <c r="S171" s="18"/>
      <c r="T171" s="18"/>
      <c r="U171" s="18"/>
      <c r="V171" s="40"/>
      <c r="W171" s="18"/>
      <c r="X171" s="18"/>
    </row>
    <row r="172" spans="1:26" ht="15" customHeight="1" x14ac:dyDescent="0.25">
      <c r="D172" s="18"/>
      <c r="E172" s="18"/>
      <c r="G172" s="18"/>
      <c r="H172" s="18"/>
      <c r="I172" s="18"/>
      <c r="J172" s="40"/>
      <c r="K172" s="18"/>
      <c r="L172" s="18"/>
      <c r="M172" s="18"/>
      <c r="P172" s="18"/>
      <c r="Q172" s="18"/>
      <c r="R172" s="40"/>
      <c r="S172" s="18"/>
      <c r="T172" s="18"/>
      <c r="U172" s="18"/>
      <c r="V172" s="40"/>
      <c r="W172" s="18"/>
      <c r="X17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D0583-0733-26D5-30D2-979F91AA255E}">
  <sheetPr>
    <tabColor rgb="FFFFFF00"/>
    <outlinePr summaryBelow="0" summaryRight="0"/>
  </sheetPr>
  <dimension ref="A2:Z163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302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857648.2</v>
      </c>
      <c r="E12" s="5"/>
      <c r="F12" s="13"/>
      <c r="G12" s="5"/>
      <c r="H12" s="5">
        <f>SUM(OSRRefH13x_0)</f>
        <v>380419</v>
      </c>
      <c r="I12" s="5"/>
      <c r="J12" s="13"/>
      <c r="K12" s="5"/>
      <c r="L12" s="5">
        <f t="shared" ref="L12:L19" si="0">+D12-H12</f>
        <v>477229.19999999995</v>
      </c>
      <c r="M12" s="5"/>
      <c r="N12" s="13">
        <f t="shared" ref="N12:N19" si="1">IF(H12=0,0,L12/H12)</f>
        <v>1.2544830831267628</v>
      </c>
      <c r="O12" s="11"/>
      <c r="P12" s="5">
        <f>SUM(OSRRefP13x_0)</f>
        <v>7519311.9600000009</v>
      </c>
      <c r="Q12" s="5"/>
      <c r="R12" s="13"/>
      <c r="S12" s="5"/>
      <c r="T12" s="5">
        <f>SUM(OSRRefT13x_0)</f>
        <v>8589942</v>
      </c>
      <c r="U12" s="5"/>
      <c r="V12" s="13"/>
      <c r="W12" s="5"/>
      <c r="X12" s="5">
        <f t="shared" ref="X12:X19" si="2">+P12-T12</f>
        <v>-1070630.0399999991</v>
      </c>
      <c r="Y12" s="5"/>
      <c r="Z12" s="13">
        <f t="shared" ref="Z12:Z19" si="3">IF(T12=0,0,X12/T12)</f>
        <v>-0.12463763317610282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--849642.34</f>
        <v>849642.34</v>
      </c>
      <c r="E13" s="3"/>
      <c r="F13" s="20"/>
      <c r="G13" s="3"/>
      <c r="H13" s="3">
        <v>346258</v>
      </c>
      <c r="I13" s="3"/>
      <c r="J13" s="20"/>
      <c r="K13" s="3"/>
      <c r="L13" s="3">
        <f t="shared" si="0"/>
        <v>503384.33999999997</v>
      </c>
      <c r="M13" s="3"/>
      <c r="N13" s="20">
        <f t="shared" si="1"/>
        <v>1.4537839992144586</v>
      </c>
      <c r="O13" s="12"/>
      <c r="P13" s="3">
        <f>--6570471.15</f>
        <v>6570471.1500000004</v>
      </c>
      <c r="Q13" s="3"/>
      <c r="R13" s="20"/>
      <c r="S13" s="3"/>
      <c r="T13" s="3">
        <v>8216842</v>
      </c>
      <c r="U13" s="3"/>
      <c r="V13" s="20"/>
      <c r="W13" s="3"/>
      <c r="X13" s="3">
        <f t="shared" si="2"/>
        <v>-1646370.8499999996</v>
      </c>
      <c r="Y13" s="3"/>
      <c r="Z13" s="20">
        <f t="shared" si="3"/>
        <v>-0.20036540193909042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--74401.62</f>
        <v>74401.62</v>
      </c>
      <c r="E14" s="3"/>
      <c r="F14" s="20"/>
      <c r="G14" s="3"/>
      <c r="H14" s="3">
        <v>34161</v>
      </c>
      <c r="I14" s="3"/>
      <c r="J14" s="20"/>
      <c r="K14" s="3"/>
      <c r="L14" s="3">
        <f t="shared" si="0"/>
        <v>40240.619999999995</v>
      </c>
      <c r="M14" s="3"/>
      <c r="N14" s="20">
        <f t="shared" si="1"/>
        <v>1.1779696144726441</v>
      </c>
      <c r="O14" s="12"/>
      <c r="P14" s="3">
        <f>--1334617.99</f>
        <v>1334617.99</v>
      </c>
      <c r="Q14" s="3"/>
      <c r="R14" s="20"/>
      <c r="S14" s="3"/>
      <c r="T14" s="3">
        <v>373100</v>
      </c>
      <c r="U14" s="3"/>
      <c r="V14" s="20"/>
      <c r="W14" s="3"/>
      <c r="X14" s="3">
        <f t="shared" si="2"/>
        <v>961517.99</v>
      </c>
      <c r="Y14" s="3"/>
      <c r="Z14" s="20">
        <f t="shared" si="3"/>
        <v>2.5771053068882335</v>
      </c>
    </row>
    <row r="15" spans="1:26" s="70" customFormat="1" ht="15" hidden="1" customHeight="1" outlineLevel="1" x14ac:dyDescent="0.25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","4200"," - ","TAXABLE RETURNS")</f>
        <v xml:space="preserve">          4200 - TAXABLE RETURNS</v>
      </c>
      <c r="C17" s="12"/>
      <c r="D17" s="3">
        <f>-44533.18</f>
        <v>-44533.18</v>
      </c>
      <c r="E17" s="3"/>
      <c r="F17" s="20"/>
      <c r="G17" s="3"/>
      <c r="H17" s="3"/>
      <c r="I17" s="3"/>
      <c r="J17" s="20"/>
      <c r="K17" s="3"/>
      <c r="L17" s="3">
        <f t="shared" si="0"/>
        <v>-44533.18</v>
      </c>
      <c r="M17" s="3"/>
      <c r="N17" s="20">
        <f t="shared" si="1"/>
        <v>0</v>
      </c>
      <c r="O17" s="12"/>
      <c r="P17" s="3">
        <f>-216083.84</f>
        <v>-216083.84</v>
      </c>
      <c r="Q17" s="3"/>
      <c r="R17" s="20"/>
      <c r="S17" s="3"/>
      <c r="T17" s="3"/>
      <c r="U17" s="3"/>
      <c r="V17" s="20"/>
      <c r="W17" s="3"/>
      <c r="X17" s="3">
        <f t="shared" si="2"/>
        <v>-216083.84</v>
      </c>
      <c r="Y17" s="3"/>
      <c r="Z17" s="20">
        <f t="shared" si="3"/>
        <v>0</v>
      </c>
    </row>
    <row r="18" spans="1:26" s="70" customFormat="1" ht="15" hidden="1" customHeight="1" outlineLevel="1" x14ac:dyDescent="0.25">
      <c r="A18" s="42"/>
      <c r="B18" s="12" t="str">
        <f>CONCATENATE("          ","4300"," - ","NON-TAX RETURNS")</f>
        <v xml:space="preserve">          4300 - NON-TAX RETURNS</v>
      </c>
      <c r="C18" s="12"/>
      <c r="D18" s="3">
        <f>-554.21</f>
        <v>-554.21</v>
      </c>
      <c r="E18" s="3"/>
      <c r="F18" s="20"/>
      <c r="G18" s="3"/>
      <c r="H18" s="3"/>
      <c r="I18" s="3"/>
      <c r="J18" s="20"/>
      <c r="K18" s="3"/>
      <c r="L18" s="3">
        <f t="shared" si="0"/>
        <v>-554.21</v>
      </c>
      <c r="M18" s="3"/>
      <c r="N18" s="20">
        <f t="shared" si="1"/>
        <v>0</v>
      </c>
      <c r="O18" s="12"/>
      <c r="P18" s="3">
        <f>-41771.06</f>
        <v>-41771.06</v>
      </c>
      <c r="Q18" s="3"/>
      <c r="R18" s="20"/>
      <c r="S18" s="3"/>
      <c r="T18" s="3"/>
      <c r="U18" s="3"/>
      <c r="V18" s="20"/>
      <c r="W18" s="3"/>
      <c r="X18" s="3">
        <f t="shared" si="2"/>
        <v>-41771.06</v>
      </c>
      <c r="Y18" s="3"/>
      <c r="Z18" s="20">
        <f t="shared" si="3"/>
        <v>0</v>
      </c>
    </row>
    <row r="19" spans="1:26" s="70" customFormat="1" ht="15" hidden="1" customHeight="1" outlineLevel="1" x14ac:dyDescent="0.25">
      <c r="A19" s="42"/>
      <c r="B19" s="12" t="str">
        <f>CONCATENATE("          ","4500"," - ","SALES DISCOUNT")</f>
        <v xml:space="preserve">          4500 - SALES DISCOUNT</v>
      </c>
      <c r="C19" s="12"/>
      <c r="D19" s="3">
        <f>-21308.37</f>
        <v>-21308.37</v>
      </c>
      <c r="E19" s="3"/>
      <c r="F19" s="20"/>
      <c r="G19" s="3"/>
      <c r="H19" s="3"/>
      <c r="I19" s="3"/>
      <c r="J19" s="20"/>
      <c r="K19" s="3"/>
      <c r="L19" s="3">
        <f t="shared" si="0"/>
        <v>-21308.37</v>
      </c>
      <c r="M19" s="3"/>
      <c r="N19" s="20">
        <f t="shared" si="1"/>
        <v>0</v>
      </c>
      <c r="O19" s="12"/>
      <c r="P19" s="3">
        <f>-127922.28</f>
        <v>-127922.28</v>
      </c>
      <c r="Q19" s="3"/>
      <c r="R19" s="20"/>
      <c r="S19" s="3"/>
      <c r="T19" s="3"/>
      <c r="U19" s="3"/>
      <c r="V19" s="20"/>
      <c r="W19" s="3"/>
      <c r="X19" s="3">
        <f t="shared" si="2"/>
        <v>-127922.28</v>
      </c>
      <c r="Y19" s="3"/>
      <c r="Z19" s="20">
        <f t="shared" si="3"/>
        <v>0</v>
      </c>
    </row>
    <row r="20" spans="1:26" ht="15" customHeight="1" x14ac:dyDescent="0.25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25">
      <c r="A21" s="11"/>
      <c r="B21" s="27" t="s">
        <v>288</v>
      </c>
      <c r="C21" s="11"/>
      <c r="D21" s="5">
        <f>SUM(OSRRefD16x_0)</f>
        <v>374318.87999999995</v>
      </c>
      <c r="E21" s="5"/>
      <c r="F21" s="13">
        <f t="shared" ref="F21:F48" si="4">IF(D$12=0,0,D21/D$12)</f>
        <v>0.43644804478106519</v>
      </c>
      <c r="G21" s="5"/>
      <c r="H21" s="5">
        <f>SUM(OSRRefH16x_0)</f>
        <v>178852</v>
      </c>
      <c r="I21" s="5"/>
      <c r="J21" s="13">
        <f t="shared" ref="J21:J48" si="5">IF(H$12=0,0,H21/H$12)</f>
        <v>0.47014476143410294</v>
      </c>
      <c r="K21" s="5"/>
      <c r="L21" s="5">
        <f t="shared" ref="L21:L48" si="6">+D21-H21</f>
        <v>195466.87999999995</v>
      </c>
      <c r="M21" s="5"/>
      <c r="N21" s="13">
        <f t="shared" ref="N21:N48" si="7">IF(H21=0,0,L21/H21)</f>
        <v>1.0928973676559386</v>
      </c>
      <c r="O21" s="11"/>
      <c r="P21" s="5">
        <f>SUM(OSRRefP16x_0)</f>
        <v>4073638.72</v>
      </c>
      <c r="Q21" s="5"/>
      <c r="R21" s="13">
        <f t="shared" ref="R21:R48" si="8">IF(P$12=0,0,P21/P$12)</f>
        <v>0.5417568444653279</v>
      </c>
      <c r="S21" s="5"/>
      <c r="T21" s="5">
        <f>SUM(OSRRefT16x_0)</f>
        <v>5200147</v>
      </c>
      <c r="U21" s="5"/>
      <c r="V21" s="13">
        <f t="shared" ref="V21:V48" si="9">IF(T$12=0,0,T21/T$12)</f>
        <v>0.60537626447303139</v>
      </c>
      <c r="W21" s="5"/>
      <c r="X21" s="5">
        <f t="shared" ref="X21:X48" si="10">+P21-T21</f>
        <v>-1126508.2799999998</v>
      </c>
      <c r="Y21" s="5"/>
      <c r="Z21" s="13">
        <f t="shared" ref="Z21:Z48" si="11">IF(T21=0,0,X21/T21)</f>
        <v>-0.21663008372647924</v>
      </c>
    </row>
    <row r="22" spans="1:26" s="70" customFormat="1" ht="15" hidden="1" customHeight="1" outlineLevel="1" x14ac:dyDescent="0.25">
      <c r="A22" s="42"/>
      <c r="B22" s="12" t="str">
        <f>CONCATENATE("          ","5000"," - ","PURCHASES @ COST")</f>
        <v xml:space="preserve">          5000 - PURCHASES @ COST</v>
      </c>
      <c r="C22" s="12"/>
      <c r="D22" s="3">
        <v>354165.25</v>
      </c>
      <c r="E22" s="3"/>
      <c r="F22" s="20">
        <f t="shared" si="4"/>
        <v>0.41294933050637783</v>
      </c>
      <c r="G22" s="3"/>
      <c r="H22" s="3">
        <v>178852</v>
      </c>
      <c r="I22" s="3"/>
      <c r="J22" s="20">
        <f t="shared" si="5"/>
        <v>0.47014476143410294</v>
      </c>
      <c r="K22" s="3"/>
      <c r="L22" s="3">
        <f t="shared" si="6"/>
        <v>175313.25</v>
      </c>
      <c r="M22" s="3"/>
      <c r="N22" s="20">
        <f t="shared" si="7"/>
        <v>0.98021408762552276</v>
      </c>
      <c r="O22" s="12"/>
      <c r="P22" s="3">
        <v>4038213.32</v>
      </c>
      <c r="Q22" s="3"/>
      <c r="R22" s="20">
        <f t="shared" si="8"/>
        <v>0.53704558894242227</v>
      </c>
      <c r="S22" s="3"/>
      <c r="T22" s="3">
        <v>5200147</v>
      </c>
      <c r="U22" s="3"/>
      <c r="V22" s="20">
        <f t="shared" si="9"/>
        <v>0.60537626447303139</v>
      </c>
      <c r="W22" s="3"/>
      <c r="X22" s="3">
        <f t="shared" si="10"/>
        <v>-1161933.6800000002</v>
      </c>
      <c r="Y22" s="3"/>
      <c r="Z22" s="20">
        <f t="shared" si="11"/>
        <v>-0.22344246806869117</v>
      </c>
    </row>
    <row r="23" spans="1:26" s="70" customFormat="1" ht="15" hidden="1" customHeight="1" outlineLevel="1" x14ac:dyDescent="0.25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","5200"," - ","PURCHASES OFFSET")</f>
        <v xml:space="preserve">          5200 - PURCHASES OFFSET</v>
      </c>
      <c r="C36" s="12"/>
      <c r="D36" s="3">
        <v>-363471.96</v>
      </c>
      <c r="E36" s="3"/>
      <c r="F36" s="20">
        <f t="shared" si="4"/>
        <v>-0.42380076119788979</v>
      </c>
      <c r="G36" s="3"/>
      <c r="H36" s="3"/>
      <c r="I36" s="3"/>
      <c r="J36" s="20">
        <f t="shared" si="5"/>
        <v>0</v>
      </c>
      <c r="K36" s="3"/>
      <c r="L36" s="3">
        <f t="shared" si="6"/>
        <v>-363471.96</v>
      </c>
      <c r="M36" s="3"/>
      <c r="N36" s="20">
        <f t="shared" si="7"/>
        <v>0</v>
      </c>
      <c r="O36" s="12"/>
      <c r="P36" s="3">
        <v>-3931496.4</v>
      </c>
      <c r="Q36" s="3"/>
      <c r="R36" s="20">
        <f t="shared" si="8"/>
        <v>-0.52285321062806378</v>
      </c>
      <c r="S36" s="3"/>
      <c r="T36" s="3"/>
      <c r="U36" s="3"/>
      <c r="V36" s="20">
        <f t="shared" si="9"/>
        <v>0</v>
      </c>
      <c r="W36" s="3"/>
      <c r="X36" s="3">
        <f t="shared" si="10"/>
        <v>-3931496.4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","5300"," - ","COG$ OFFSET")</f>
        <v xml:space="preserve">          5300 - COG$ OFFSET</v>
      </c>
      <c r="C37" s="12"/>
      <c r="D37" s="3">
        <v>371724.62</v>
      </c>
      <c r="E37" s="3"/>
      <c r="F37" s="20">
        <f t="shared" si="4"/>
        <v>0.43342319146708408</v>
      </c>
      <c r="G37" s="3"/>
      <c r="H37" s="3"/>
      <c r="I37" s="3"/>
      <c r="J37" s="20">
        <f t="shared" si="5"/>
        <v>0</v>
      </c>
      <c r="K37" s="3"/>
      <c r="L37" s="3">
        <f t="shared" si="6"/>
        <v>371724.62</v>
      </c>
      <c r="M37" s="3"/>
      <c r="N37" s="20">
        <f t="shared" si="7"/>
        <v>0</v>
      </c>
      <c r="O37" s="12"/>
      <c r="P37" s="3">
        <v>3771746.64</v>
      </c>
      <c r="Q37" s="3"/>
      <c r="R37" s="20">
        <f t="shared" si="8"/>
        <v>0.50160794765057193</v>
      </c>
      <c r="S37" s="3"/>
      <c r="T37" s="3"/>
      <c r="U37" s="3"/>
      <c r="V37" s="20">
        <f t="shared" si="9"/>
        <v>0</v>
      </c>
      <c r="W37" s="3"/>
      <c r="X37" s="3">
        <f t="shared" si="10"/>
        <v>3771746.64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","5500"," - ","FREIGHT-IN")</f>
        <v xml:space="preserve">          5500 - FREIGHT-IN</v>
      </c>
      <c r="C38" s="12"/>
      <c r="D38" s="3">
        <v>11900.97</v>
      </c>
      <c r="E38" s="3"/>
      <c r="F38" s="20">
        <f t="shared" si="4"/>
        <v>1.3876284005493161E-2</v>
      </c>
      <c r="G38" s="3"/>
      <c r="H38" s="3"/>
      <c r="I38" s="3"/>
      <c r="J38" s="20">
        <f t="shared" si="5"/>
        <v>0</v>
      </c>
      <c r="K38" s="3"/>
      <c r="L38" s="3">
        <f t="shared" si="6"/>
        <v>11900.97</v>
      </c>
      <c r="M38" s="3"/>
      <c r="N38" s="20">
        <f t="shared" si="7"/>
        <v>0</v>
      </c>
      <c r="O38" s="12"/>
      <c r="P38" s="3">
        <v>195175.16</v>
      </c>
      <c r="Q38" s="3"/>
      <c r="R38" s="20">
        <f t="shared" si="8"/>
        <v>2.5956518500397471E-2</v>
      </c>
      <c r="S38" s="3"/>
      <c r="T38" s="3"/>
      <c r="U38" s="3"/>
      <c r="V38" s="20">
        <f t="shared" si="9"/>
        <v>0</v>
      </c>
      <c r="W38" s="3"/>
      <c r="X38" s="3">
        <f t="shared" si="10"/>
        <v>195175.16</v>
      </c>
      <c r="Y38" s="3"/>
      <c r="Z38" s="20">
        <f t="shared" si="11"/>
        <v>0</v>
      </c>
    </row>
    <row r="39" spans="1:26" s="70" customFormat="1" ht="15" hidden="1" customHeight="1" outlineLevel="1" x14ac:dyDescent="0.25">
      <c r="A39" s="42"/>
      <c r="B39" s="12" t="str">
        <f>CONCATENATE("          ","5501"," - ","FREIGHT-IN-NEW TEXT")</f>
        <v xml:space="preserve">          5501 - FREIGHT-IN-NEW TEXT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25">
      <c r="A40" s="42"/>
      <c r="B40" s="12" t="str">
        <f>CONCATENATE("          ","5502"," - ","FREIGHT-IN-USED TEXT")</f>
        <v xml:space="preserve">          5502 - FREIGHT-IN-USED TEXT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25">
      <c r="A41" s="42"/>
      <c r="B41" s="12" t="str">
        <f>CONCATENATE("          ","5518"," - ","FREIGHT-IN-STUDY GUIDES")</f>
        <v xml:space="preserve">          5518 - FREIGHT-IN-STUDY GUIDES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25">
      <c r="A42" s="42"/>
      <c r="B42" s="12" t="str">
        <f>CONCATENATE("          ","5527"," - ","FREIGHT-IN-SCHOOL SUPPLIES")</f>
        <v xml:space="preserve">          5527 - FREIGHT-IN-SCHOOL SUPPLIES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>
        <v>0</v>
      </c>
      <c r="Q42" s="3"/>
      <c r="R42" s="20">
        <f t="shared" si="8"/>
        <v>0</v>
      </c>
      <c r="S42" s="3"/>
      <c r="T42" s="3"/>
      <c r="U42" s="3"/>
      <c r="V42" s="20">
        <f t="shared" si="9"/>
        <v>0</v>
      </c>
      <c r="W42" s="3"/>
      <c r="X42" s="3">
        <f t="shared" si="10"/>
        <v>0</v>
      </c>
      <c r="Y42" s="3"/>
      <c r="Z42" s="20">
        <f t="shared" si="11"/>
        <v>0</v>
      </c>
    </row>
    <row r="43" spans="1:26" s="70" customFormat="1" ht="15" hidden="1" customHeight="1" outlineLevel="1" x14ac:dyDescent="0.25">
      <c r="A43" s="42"/>
      <c r="B43" s="12" t="str">
        <f>CONCATENATE("          ","5528"," - ","FREIGHT-IN-ART/TECH")</f>
        <v xml:space="preserve">          5528 - FREIGHT-IN-ART/TECH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>
        <v>0</v>
      </c>
      <c r="Q43" s="3"/>
      <c r="R43" s="20">
        <f t="shared" si="8"/>
        <v>0</v>
      </c>
      <c r="S43" s="3"/>
      <c r="T43" s="3"/>
      <c r="U43" s="3"/>
      <c r="V43" s="20">
        <f t="shared" si="9"/>
        <v>0</v>
      </c>
      <c r="W43" s="3"/>
      <c r="X43" s="3">
        <f t="shared" si="10"/>
        <v>0</v>
      </c>
      <c r="Y43" s="3"/>
      <c r="Z43" s="20">
        <f t="shared" si="11"/>
        <v>0</v>
      </c>
    </row>
    <row r="44" spans="1:26" s="70" customFormat="1" ht="15" hidden="1" customHeight="1" outlineLevel="1" x14ac:dyDescent="0.25">
      <c r="A44" s="42"/>
      <c r="B44" s="12" t="str">
        <f>CONCATENATE("          ","5540"," - ","FREIGHT-IN-LOGO CLOTHING")</f>
        <v xml:space="preserve">          5540 - FREIGHT-IN-LOGO CLOTHING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25">
      <c r="A45" s="42"/>
      <c r="B45" s="12" t="str">
        <f>CONCATENATE("          ","5541"," - ","FREIGHT-IN-LOGO GIFTS")</f>
        <v xml:space="preserve">          5541 - FREIGHT-IN-LOGO GIFTS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25">
      <c r="A46" s="42"/>
      <c r="B46" s="12" t="str">
        <f>CONCATENATE("          ","5542"," - ","FREIGHT-IN-EVERYDAY GIFTS")</f>
        <v xml:space="preserve">          5542 - FREIGHT-IN-EVERYDAY GIFTS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25">
      <c r="A47" s="42"/>
      <c r="B47" s="12" t="str">
        <f>CONCATENATE("          ","5544"," - ","FREIGHT-IN-ACCESSORIES")</f>
        <v xml:space="preserve">          5544 - FREIGHT-IN-ACCESSORIES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25">
      <c r="A48" s="42"/>
      <c r="B48" s="12" t="str">
        <f>CONCATENATE("          ","5545"," - ","FREIGHT-IN-SPECIAL ORDERS")</f>
        <v xml:space="preserve">          5545 - FREIGHT-IN-SPECIAL ORDERS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ht="15" customHeight="1" x14ac:dyDescent="0.25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3" customFormat="1" ht="15" customHeight="1" x14ac:dyDescent="0.25">
      <c r="A50" s="11"/>
      <c r="B50" s="28" t="s">
        <v>289</v>
      </c>
      <c r="C50" s="28"/>
      <c r="D50" s="22">
        <f>D12-D21</f>
        <v>483329.32</v>
      </c>
      <c r="E50" s="15"/>
      <c r="F50" s="21">
        <f>IF(D$12=0,0,D50/D$12)</f>
        <v>0.56355195521893475</v>
      </c>
      <c r="G50" s="15"/>
      <c r="H50" s="22">
        <f>H12-H21</f>
        <v>201567</v>
      </c>
      <c r="I50" s="15"/>
      <c r="J50" s="21">
        <f>IF(H$12=0,0,H50/H$12)</f>
        <v>0.52985523856589711</v>
      </c>
      <c r="K50" s="16"/>
      <c r="L50" s="22">
        <f>+D50-H50</f>
        <v>281762.32</v>
      </c>
      <c r="M50" s="16"/>
      <c r="N50" s="21">
        <f>IF(H50=0,0,L50/H50)</f>
        <v>1.3978593718217764</v>
      </c>
      <c r="O50" s="27"/>
      <c r="P50" s="22">
        <f>P12-P21</f>
        <v>3445673.2400000007</v>
      </c>
      <c r="Q50" s="15"/>
      <c r="R50" s="21">
        <f>IF(P$12=0,0,P50/P$12)</f>
        <v>0.4582431555346721</v>
      </c>
      <c r="S50" s="15"/>
      <c r="T50" s="22">
        <f>T12-T21</f>
        <v>3389795</v>
      </c>
      <c r="U50" s="15"/>
      <c r="V50" s="21">
        <f>IF(T$12=0,0,T50/T$12)</f>
        <v>0.39462373552696861</v>
      </c>
      <c r="W50" s="16"/>
      <c r="X50" s="22">
        <f>+P50-T50</f>
        <v>55878.240000000689</v>
      </c>
      <c r="Y50" s="16"/>
      <c r="Z50" s="21">
        <f>IF(T50=0,0,X50/T50)</f>
        <v>1.6484253472555329E-2</v>
      </c>
    </row>
    <row r="51" spans="1:26" ht="15" customHeight="1" x14ac:dyDescent="0.25">
      <c r="A51" s="10"/>
      <c r="B51" s="11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35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63" customFormat="1" ht="15" customHeight="1" x14ac:dyDescent="0.25">
      <c r="A52" s="11"/>
      <c r="B52" s="27" t="s">
        <v>290</v>
      </c>
      <c r="C52" s="11"/>
      <c r="D52" s="23" cm="1">
        <f t="array" ref="D52">SUM(OSRRefD22x_0)</f>
        <v>324725.14000000007</v>
      </c>
      <c r="E52" s="23"/>
      <c r="F52" s="31">
        <f t="shared" ref="F52:F83" si="12">IF(D$12=0,0,D52/D$12)</f>
        <v>0.37862277330028804</v>
      </c>
      <c r="G52" s="23"/>
      <c r="H52" s="23" cm="1">
        <f t="array" ref="H52">SUM(OSRRefH22x_0)</f>
        <v>284416.80103275506</v>
      </c>
      <c r="I52" s="23"/>
      <c r="J52" s="31">
        <f t="shared" ref="J52:J83" si="13">IF(H$12=0,0,H52/H$12)</f>
        <v>0.74764089341687734</v>
      </c>
      <c r="K52" s="5"/>
      <c r="L52" s="23">
        <f t="shared" ref="L52:L83" si="14">+D52-H52</f>
        <v>40308.338967245014</v>
      </c>
      <c r="M52" s="5"/>
      <c r="N52" s="31">
        <f t="shared" ref="N52:N83" si="15">IF(H52=0,0,L52/H52)</f>
        <v>0.14172277734958025</v>
      </c>
      <c r="O52" s="11"/>
      <c r="P52" s="23" cm="1">
        <f t="array" ref="P52">SUM(OSRRefP22x_0)</f>
        <v>3537849.81</v>
      </c>
      <c r="Q52" s="23"/>
      <c r="R52" s="31">
        <f t="shared" ref="R52:R83" si="16">IF(P$12=0,0,P52/P$12)</f>
        <v>0.4705017997417944</v>
      </c>
      <c r="S52" s="23"/>
      <c r="T52" s="23" cm="1">
        <f t="array" ref="T52">SUM(OSRRefT22x_0)</f>
        <v>3671925.7141219042</v>
      </c>
      <c r="U52" s="23"/>
      <c r="V52" s="31">
        <f t="shared" ref="V52:V83" si="17">IF(T$12=0,0,T52/T$12)</f>
        <v>0.427468045083646</v>
      </c>
      <c r="W52" s="5"/>
      <c r="X52" s="23">
        <f t="shared" ref="X52:X83" si="18">+P52-T52</f>
        <v>-134075.90412190417</v>
      </c>
      <c r="Y52" s="5"/>
      <c r="Z52" s="31">
        <f t="shared" ref="Z52:Z83" si="19">IF(T52=0,0,X52/T52)</f>
        <v>-3.6513784471799086E-2</v>
      </c>
    </row>
    <row r="53" spans="1:26" s="69" customFormat="1" ht="15" customHeight="1" outlineLevel="1" collapsed="1" x14ac:dyDescent="0.25">
      <c r="A53" s="26"/>
      <c r="B53" s="14" t="str">
        <f>CONCATENATE("     ","*Benefits                                         ")</f>
        <v xml:space="preserve">     *Benefits                                         </v>
      </c>
      <c r="C53" s="14"/>
      <c r="D53" s="2">
        <f>SUM(OSRRefD22_0x_0)</f>
        <v>44085.649999999994</v>
      </c>
      <c r="E53" s="2"/>
      <c r="F53" s="6">
        <f t="shared" si="12"/>
        <v>5.1402952865755441E-2</v>
      </c>
      <c r="G53" s="2"/>
      <c r="H53" s="2">
        <f>SUM(OSRRefH22_0x_0)</f>
        <v>43414.506824039781</v>
      </c>
      <c r="I53" s="2"/>
      <c r="J53" s="6">
        <f t="shared" si="13"/>
        <v>0.11412286669183133</v>
      </c>
      <c r="K53" s="2"/>
      <c r="L53" s="2">
        <f t="shared" si="14"/>
        <v>671.14317596021283</v>
      </c>
      <c r="M53" s="2"/>
      <c r="N53" s="6">
        <f t="shared" si="15"/>
        <v>1.5458961187337104E-2</v>
      </c>
      <c r="O53" s="14"/>
      <c r="P53" s="2">
        <f>SUM(OSRRefP22_0x_0)</f>
        <v>516704.52</v>
      </c>
      <c r="Q53" s="2"/>
      <c r="R53" s="6">
        <f t="shared" si="16"/>
        <v>6.8716994686306376E-2</v>
      </c>
      <c r="S53" s="2"/>
      <c r="T53" s="2">
        <f>SUM(OSRRefT22_0x_0)</f>
        <v>526945.30340385786</v>
      </c>
      <c r="U53" s="2"/>
      <c r="V53" s="6">
        <f t="shared" si="17"/>
        <v>6.1344454177206069E-2</v>
      </c>
      <c r="W53" s="2"/>
      <c r="X53" s="2">
        <f t="shared" si="18"/>
        <v>-10240.783403857844</v>
      </c>
      <c r="Y53" s="2"/>
      <c r="Z53" s="6">
        <f t="shared" si="19"/>
        <v>-1.9434243625868645E-2</v>
      </c>
    </row>
    <row r="54" spans="1:26" s="70" customFormat="1" ht="15" hidden="1" customHeight="1" outlineLevel="2" x14ac:dyDescent="0.25">
      <c r="A54" s="25"/>
      <c r="B54" s="12" t="str">
        <f>CONCATENATE("          ","6111"," - ","F.I.C.A.")</f>
        <v xml:space="preserve">          6111 - F.I.C.A.</v>
      </c>
      <c r="C54" s="12"/>
      <c r="D54" s="8">
        <v>8766.32</v>
      </c>
      <c r="E54" s="3"/>
      <c r="F54" s="7">
        <f t="shared" si="12"/>
        <v>1.0221347167754798E-2</v>
      </c>
      <c r="G54" s="3"/>
      <c r="H54" s="8">
        <v>9003.9075770720792</v>
      </c>
      <c r="I54" s="3"/>
      <c r="J54" s="7">
        <f t="shared" si="13"/>
        <v>2.3668396102907791E-2</v>
      </c>
      <c r="K54" s="3"/>
      <c r="L54" s="8">
        <f t="shared" si="14"/>
        <v>-237.58757707207951</v>
      </c>
      <c r="M54" s="3"/>
      <c r="N54" s="7">
        <f t="shared" si="15"/>
        <v>-2.6387163022095241E-2</v>
      </c>
      <c r="O54" s="12"/>
      <c r="P54" s="8">
        <v>96299.85</v>
      </c>
      <c r="Q54" s="3"/>
      <c r="R54" s="7">
        <f t="shared" si="16"/>
        <v>1.2807002889663324E-2</v>
      </c>
      <c r="S54" s="3"/>
      <c r="T54" s="8">
        <v>110893.453944957</v>
      </c>
      <c r="U54" s="3"/>
      <c r="V54" s="7">
        <f t="shared" si="17"/>
        <v>1.2909685996128612E-2</v>
      </c>
      <c r="W54" s="3"/>
      <c r="X54" s="8">
        <f t="shared" si="18"/>
        <v>-14593.603944956994</v>
      </c>
      <c r="Y54" s="3"/>
      <c r="Z54" s="7">
        <f t="shared" si="19"/>
        <v>-0.13160022910099514</v>
      </c>
    </row>
    <row r="55" spans="1:26" s="70" customFormat="1" ht="15" hidden="1" customHeight="1" outlineLevel="2" x14ac:dyDescent="0.25">
      <c r="A55" s="25"/>
      <c r="B55" s="12" t="str">
        <f>CONCATENATE("          ","6112"," - ","COMPENSATION INSURANCE")</f>
        <v xml:space="preserve">          6112 - COMPENSATION INSURANCE</v>
      </c>
      <c r="C55" s="12"/>
      <c r="D55" s="8">
        <v>3533.43</v>
      </c>
      <c r="E55" s="3"/>
      <c r="F55" s="7">
        <f t="shared" si="12"/>
        <v>4.1199060407285876E-3</v>
      </c>
      <c r="G55" s="3"/>
      <c r="H55" s="8">
        <v>2393.2911244799998</v>
      </c>
      <c r="I55" s="3"/>
      <c r="J55" s="7">
        <f t="shared" si="13"/>
        <v>6.2911976648905542E-3</v>
      </c>
      <c r="K55" s="3"/>
      <c r="L55" s="8">
        <f t="shared" si="14"/>
        <v>1140.1388755200001</v>
      </c>
      <c r="M55" s="3"/>
      <c r="N55" s="7">
        <f t="shared" si="15"/>
        <v>0.47638954737181116</v>
      </c>
      <c r="O55" s="12"/>
      <c r="P55" s="8">
        <v>28123.51</v>
      </c>
      <c r="Q55" s="3"/>
      <c r="R55" s="7">
        <f t="shared" si="16"/>
        <v>3.7401706631679629E-3</v>
      </c>
      <c r="S55" s="3"/>
      <c r="T55" s="8">
        <v>30925.648538760001</v>
      </c>
      <c r="U55" s="3"/>
      <c r="V55" s="7">
        <f t="shared" si="17"/>
        <v>3.6002162225030158E-3</v>
      </c>
      <c r="W55" s="3"/>
      <c r="X55" s="8">
        <f t="shared" si="18"/>
        <v>-2802.1385387600021</v>
      </c>
      <c r="Y55" s="3"/>
      <c r="Z55" s="7">
        <f t="shared" si="19"/>
        <v>-9.0608885218623689E-2</v>
      </c>
    </row>
    <row r="56" spans="1:26" s="70" customFormat="1" ht="15" hidden="1" customHeight="1" outlineLevel="2" x14ac:dyDescent="0.25">
      <c r="A56" s="25"/>
      <c r="B56" s="12" t="str">
        <f>CONCATENATE("          ","6113"," - ","GROUP INSURANCE")</f>
        <v xml:space="preserve">          6113 - GROUP INSURANCE</v>
      </c>
      <c r="C56" s="12"/>
      <c r="D56" s="8">
        <v>14259.14</v>
      </c>
      <c r="E56" s="3"/>
      <c r="F56" s="7">
        <f t="shared" si="12"/>
        <v>1.6625861279718188E-2</v>
      </c>
      <c r="G56" s="3"/>
      <c r="H56" s="8">
        <v>15715.9230769231</v>
      </c>
      <c r="I56" s="3"/>
      <c r="J56" s="7">
        <f t="shared" si="13"/>
        <v>4.1312140237272851E-2</v>
      </c>
      <c r="K56" s="3"/>
      <c r="L56" s="8">
        <f t="shared" si="14"/>
        <v>-1456.7830769231005</v>
      </c>
      <c r="M56" s="3"/>
      <c r="N56" s="7">
        <f t="shared" si="15"/>
        <v>-9.2694719221564983E-2</v>
      </c>
      <c r="O56" s="12"/>
      <c r="P56" s="8">
        <v>178805.82</v>
      </c>
      <c r="Q56" s="3"/>
      <c r="R56" s="7">
        <f t="shared" si="16"/>
        <v>2.377954538276664E-2</v>
      </c>
      <c r="S56" s="3"/>
      <c r="T56" s="8">
        <v>182090.57692307699</v>
      </c>
      <c r="U56" s="3"/>
      <c r="V56" s="7">
        <f t="shared" si="17"/>
        <v>2.1198114832798289E-2</v>
      </c>
      <c r="W56" s="3"/>
      <c r="X56" s="8">
        <f t="shared" si="18"/>
        <v>-3284.7569230769877</v>
      </c>
      <c r="Y56" s="3"/>
      <c r="Z56" s="7">
        <f t="shared" si="19"/>
        <v>-1.8039137327049121E-2</v>
      </c>
    </row>
    <row r="57" spans="1:26" s="70" customFormat="1" ht="15" hidden="1" customHeight="1" outlineLevel="2" x14ac:dyDescent="0.25">
      <c r="A57" s="25"/>
      <c r="B57" s="12" t="str">
        <f>CONCATENATE("          ","6114"," - ","STATE UNEMPLOYMENT INSURANCE")</f>
        <v xml:space="preserve">          6114 - STATE UNEMPLOYMENT INSURANCE</v>
      </c>
      <c r="C57" s="12"/>
      <c r="D57" s="8">
        <v>632.16999999999996</v>
      </c>
      <c r="E57" s="3"/>
      <c r="F57" s="7">
        <f t="shared" si="12"/>
        <v>7.3709709878712511E-4</v>
      </c>
      <c r="G57" s="3"/>
      <c r="H57" s="8">
        <v>322.17380521846201</v>
      </c>
      <c r="I57" s="3"/>
      <c r="J57" s="7">
        <f t="shared" si="13"/>
        <v>8.4689199335065283E-4</v>
      </c>
      <c r="K57" s="3"/>
      <c r="L57" s="8">
        <f t="shared" si="14"/>
        <v>309.99619478153795</v>
      </c>
      <c r="M57" s="3"/>
      <c r="N57" s="7">
        <f t="shared" si="15"/>
        <v>0.962201736330902</v>
      </c>
      <c r="O57" s="12"/>
      <c r="P57" s="8">
        <v>5066.76</v>
      </c>
      <c r="Q57" s="3"/>
      <c r="R57" s="7">
        <f t="shared" si="16"/>
        <v>6.7383292872450525E-4</v>
      </c>
      <c r="S57" s="3"/>
      <c r="T57" s="8">
        <v>4163.0680725253796</v>
      </c>
      <c r="U57" s="3"/>
      <c r="V57" s="7">
        <f t="shared" si="17"/>
        <v>4.8464449149079002E-4</v>
      </c>
      <c r="W57" s="3"/>
      <c r="X57" s="8">
        <f t="shared" si="18"/>
        <v>903.69192747462057</v>
      </c>
      <c r="Y57" s="3"/>
      <c r="Z57" s="7">
        <f t="shared" si="19"/>
        <v>0.2170735408913041</v>
      </c>
    </row>
    <row r="58" spans="1:26" s="70" customFormat="1" ht="15" hidden="1" customHeight="1" outlineLevel="2" x14ac:dyDescent="0.25">
      <c r="A58" s="25"/>
      <c r="B58" s="12" t="str">
        <f>CONCATENATE("          ","6115"," - ","P.E.R.S.")</f>
        <v xml:space="preserve">          6115 - P.E.R.S.</v>
      </c>
      <c r="C58" s="12"/>
      <c r="D58" s="8">
        <v>4484.1099999999997</v>
      </c>
      <c r="E58" s="3"/>
      <c r="F58" s="7">
        <f t="shared" si="12"/>
        <v>5.228379188576388E-3</v>
      </c>
      <c r="G58" s="3"/>
      <c r="H58" s="8">
        <v>4215.5982431846096</v>
      </c>
      <c r="I58" s="3"/>
      <c r="J58" s="7">
        <f t="shared" si="13"/>
        <v>1.1081460818688367E-2</v>
      </c>
      <c r="K58" s="3"/>
      <c r="L58" s="8">
        <f t="shared" si="14"/>
        <v>268.51175681539007</v>
      </c>
      <c r="M58" s="3"/>
      <c r="N58" s="7">
        <f t="shared" si="15"/>
        <v>6.3694816565951259E-2</v>
      </c>
      <c r="O58" s="12"/>
      <c r="P58" s="8">
        <v>71786.100000000006</v>
      </c>
      <c r="Q58" s="3"/>
      <c r="R58" s="7">
        <f t="shared" si="16"/>
        <v>9.5468974265033677E-3</v>
      </c>
      <c r="S58" s="3"/>
      <c r="T58" s="8">
        <v>52404.772379753798</v>
      </c>
      <c r="U58" s="3"/>
      <c r="V58" s="7">
        <f t="shared" si="17"/>
        <v>6.1007131805725576E-3</v>
      </c>
      <c r="W58" s="3"/>
      <c r="X58" s="8">
        <f t="shared" si="18"/>
        <v>19381.327620246208</v>
      </c>
      <c r="Y58" s="3"/>
      <c r="Z58" s="7">
        <f t="shared" si="19"/>
        <v>0.36983898107215218</v>
      </c>
    </row>
    <row r="59" spans="1:26" s="70" customFormat="1" ht="15" hidden="1" customHeight="1" outlineLevel="2" x14ac:dyDescent="0.25">
      <c r="A59" s="25"/>
      <c r="B59" s="12" t="str">
        <f>CONCATENATE("          ","6116"," - ","EDUCATIONAL BENEFITS")</f>
        <v xml:space="preserve">          6116 - EDUCATIONAL BENEFITS</v>
      </c>
      <c r="C59" s="12"/>
      <c r="D59" s="8"/>
      <c r="E59" s="3"/>
      <c r="F59" s="7">
        <f t="shared" si="12"/>
        <v>0</v>
      </c>
      <c r="G59" s="3"/>
      <c r="H59" s="8">
        <v>0</v>
      </c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25">
      <c r="A60" s="25"/>
      <c r="B60" s="12" t="str">
        <f>CONCATENATE("          ","6117"," - ","RETIREMENT STAFF HOURLY")</f>
        <v xml:space="preserve">          6117 - RETIREMENT STAFF HOURLY</v>
      </c>
      <c r="C60" s="12"/>
      <c r="D60" s="8">
        <v>661.04</v>
      </c>
      <c r="E60" s="3"/>
      <c r="F60" s="7">
        <f t="shared" si="12"/>
        <v>7.7075891956632106E-4</v>
      </c>
      <c r="G60" s="3"/>
      <c r="H60" s="8"/>
      <c r="I60" s="3"/>
      <c r="J60" s="7">
        <f t="shared" si="13"/>
        <v>0</v>
      </c>
      <c r="K60" s="3"/>
      <c r="L60" s="8">
        <f t="shared" si="14"/>
        <v>661.04</v>
      </c>
      <c r="M60" s="3"/>
      <c r="N60" s="7">
        <f t="shared" si="15"/>
        <v>0</v>
      </c>
      <c r="O60" s="12"/>
      <c r="P60" s="8">
        <v>7536.26</v>
      </c>
      <c r="Q60" s="3"/>
      <c r="R60" s="7">
        <f t="shared" si="16"/>
        <v>1.0022539349464627E-3</v>
      </c>
      <c r="S60" s="3"/>
      <c r="T60" s="8"/>
      <c r="U60" s="3"/>
      <c r="V60" s="7">
        <f t="shared" si="17"/>
        <v>0</v>
      </c>
      <c r="W60" s="3"/>
      <c r="X60" s="8">
        <f t="shared" si="18"/>
        <v>7536.26</v>
      </c>
      <c r="Y60" s="3"/>
      <c r="Z60" s="7">
        <f t="shared" si="19"/>
        <v>0</v>
      </c>
    </row>
    <row r="61" spans="1:26" s="70" customFormat="1" ht="15" hidden="1" customHeight="1" outlineLevel="2" x14ac:dyDescent="0.25">
      <c r="A61" s="25"/>
      <c r="B61" s="12" t="str">
        <f>CONCATENATE("          ","6118"," - ","VACATION")</f>
        <v xml:space="preserve">          6118 - VACATION</v>
      </c>
      <c r="C61" s="12"/>
      <c r="D61" s="8">
        <v>4827.2</v>
      </c>
      <c r="E61" s="3"/>
      <c r="F61" s="7">
        <f t="shared" si="12"/>
        <v>5.6284150074587692E-3</v>
      </c>
      <c r="G61" s="3"/>
      <c r="H61" s="8">
        <v>3793.1837726692302</v>
      </c>
      <c r="I61" s="3"/>
      <c r="J61" s="7">
        <f t="shared" si="13"/>
        <v>9.9710681450433086E-3</v>
      </c>
      <c r="K61" s="3"/>
      <c r="L61" s="8">
        <f t="shared" si="14"/>
        <v>1034.0162273307697</v>
      </c>
      <c r="M61" s="3"/>
      <c r="N61" s="7">
        <f t="shared" si="15"/>
        <v>0.27259850545104003</v>
      </c>
      <c r="O61" s="12"/>
      <c r="P61" s="8">
        <v>69155.210000000006</v>
      </c>
      <c r="Q61" s="3"/>
      <c r="R61" s="7">
        <f t="shared" si="16"/>
        <v>9.1970130203242687E-3</v>
      </c>
      <c r="S61" s="3"/>
      <c r="T61" s="8">
        <v>47631.686041261499</v>
      </c>
      <c r="U61" s="3"/>
      <c r="V61" s="7">
        <f t="shared" si="17"/>
        <v>5.545053277572945E-3</v>
      </c>
      <c r="W61" s="3"/>
      <c r="X61" s="8">
        <f t="shared" si="18"/>
        <v>21523.523958738508</v>
      </c>
      <c r="Y61" s="3"/>
      <c r="Z61" s="7">
        <f t="shared" si="19"/>
        <v>0.45187407265183738</v>
      </c>
    </row>
    <row r="62" spans="1:26" s="70" customFormat="1" ht="15" hidden="1" customHeight="1" outlineLevel="2" x14ac:dyDescent="0.25">
      <c r="A62" s="25"/>
      <c r="B62" s="12" t="str">
        <f>CONCATENATE("          ","6119"," - ","SICK LEAVE")</f>
        <v xml:space="preserve">          6119 - SICK LEAVE</v>
      </c>
      <c r="C62" s="12"/>
      <c r="D62" s="8">
        <v>3719.16</v>
      </c>
      <c r="E62" s="3"/>
      <c r="F62" s="7">
        <f t="shared" si="12"/>
        <v>4.336463365748334E-3</v>
      </c>
      <c r="G62" s="3"/>
      <c r="H62" s="8">
        <v>5695.4292244922999</v>
      </c>
      <c r="I62" s="3"/>
      <c r="J62" s="7">
        <f t="shared" si="13"/>
        <v>1.4971463634813982E-2</v>
      </c>
      <c r="K62" s="3"/>
      <c r="L62" s="8">
        <f t="shared" si="14"/>
        <v>-1976.2692244923001</v>
      </c>
      <c r="M62" s="3"/>
      <c r="N62" s="7">
        <f t="shared" si="15"/>
        <v>-0.34699214872053263</v>
      </c>
      <c r="O62" s="12"/>
      <c r="P62" s="8">
        <v>28138.41</v>
      </c>
      <c r="Q62" s="3"/>
      <c r="R62" s="7">
        <f t="shared" si="16"/>
        <v>3.7421522274492781E-3</v>
      </c>
      <c r="S62" s="3"/>
      <c r="T62" s="8">
        <v>72936.097503523095</v>
      </c>
      <c r="U62" s="3"/>
      <c r="V62" s="7">
        <f t="shared" si="17"/>
        <v>8.4908719411054337E-3</v>
      </c>
      <c r="W62" s="3"/>
      <c r="X62" s="8">
        <f t="shared" si="18"/>
        <v>-44797.687503523091</v>
      </c>
      <c r="Y62" s="3"/>
      <c r="Z62" s="7">
        <f t="shared" si="19"/>
        <v>-0.61420461248779035</v>
      </c>
    </row>
    <row r="63" spans="1:26" s="70" customFormat="1" ht="15" hidden="1" customHeight="1" outlineLevel="2" x14ac:dyDescent="0.25">
      <c r="A63" s="25"/>
      <c r="B63" s="12" t="str">
        <f>CONCATENATE("          ","6156"," - ","EMPLOYEE MEALS")</f>
        <v xml:space="preserve">          6156 - EMPLOYEE MEALS</v>
      </c>
      <c r="C63" s="12"/>
      <c r="D63" s="8">
        <v>3203.08</v>
      </c>
      <c r="E63" s="3"/>
      <c r="F63" s="7">
        <f t="shared" si="12"/>
        <v>3.7347247974169363E-3</v>
      </c>
      <c r="G63" s="3"/>
      <c r="H63" s="8">
        <v>2275</v>
      </c>
      <c r="I63" s="3"/>
      <c r="J63" s="7">
        <f t="shared" si="13"/>
        <v>5.9802480948638213E-3</v>
      </c>
      <c r="K63" s="3"/>
      <c r="L63" s="8">
        <f t="shared" si="14"/>
        <v>928.07999999999993</v>
      </c>
      <c r="M63" s="3"/>
      <c r="N63" s="7">
        <f t="shared" si="15"/>
        <v>0.40794725274725274</v>
      </c>
      <c r="O63" s="12"/>
      <c r="P63" s="8">
        <v>31792.6</v>
      </c>
      <c r="Q63" s="3"/>
      <c r="R63" s="7">
        <f t="shared" si="16"/>
        <v>4.2281262127605614E-3</v>
      </c>
      <c r="S63" s="3"/>
      <c r="T63" s="8">
        <v>25900</v>
      </c>
      <c r="U63" s="3"/>
      <c r="V63" s="7">
        <f t="shared" si="17"/>
        <v>3.0151542350344159E-3</v>
      </c>
      <c r="W63" s="3"/>
      <c r="X63" s="8">
        <f t="shared" si="18"/>
        <v>5892.5999999999985</v>
      </c>
      <c r="Y63" s="3"/>
      <c r="Z63" s="7">
        <f t="shared" si="19"/>
        <v>0.22751351351351345</v>
      </c>
    </row>
    <row r="64" spans="1:26" s="69" customFormat="1" ht="15" customHeight="1" outlineLevel="1" collapsed="1" x14ac:dyDescent="0.25">
      <c r="A64" s="26"/>
      <c r="B64" s="14" t="str">
        <f>CONCATENATE("     ","*Payroll                                          ")</f>
        <v xml:space="preserve">     *Payroll                                          </v>
      </c>
      <c r="C64" s="14"/>
      <c r="D64" s="2">
        <f>SUM(OSRRefD22_1x_0)</f>
        <v>157092.06</v>
      </c>
      <c r="E64" s="2"/>
      <c r="F64" s="6">
        <f t="shared" si="12"/>
        <v>0.18316608138395207</v>
      </c>
      <c r="G64" s="2"/>
      <c r="H64" s="2">
        <f>SUM(OSRRefH22_1x_0)</f>
        <v>146695.29420871529</v>
      </c>
      <c r="I64" s="2"/>
      <c r="J64" s="6">
        <f t="shared" si="13"/>
        <v>0.38561505657897027</v>
      </c>
      <c r="K64" s="2"/>
      <c r="L64" s="2">
        <f t="shared" si="14"/>
        <v>10396.765791284706</v>
      </c>
      <c r="M64" s="2"/>
      <c r="N64" s="6">
        <f t="shared" si="15"/>
        <v>7.0873205901836114E-2</v>
      </c>
      <c r="O64" s="14"/>
      <c r="P64" s="2">
        <f>SUM(OSRRefP22_1x_0)</f>
        <v>1848176.65</v>
      </c>
      <c r="Q64" s="2"/>
      <c r="R64" s="6">
        <f t="shared" si="16"/>
        <v>0.24579066008055339</v>
      </c>
      <c r="S64" s="2"/>
      <c r="T64" s="2">
        <f>SUM(OSRRefT22_1x_0)</f>
        <v>1899452.4107180464</v>
      </c>
      <c r="U64" s="2"/>
      <c r="V64" s="6">
        <f t="shared" si="17"/>
        <v>0.22112517298929915</v>
      </c>
      <c r="W64" s="2"/>
      <c r="X64" s="2">
        <f t="shared" si="18"/>
        <v>-51275.760718046455</v>
      </c>
      <c r="Y64" s="2"/>
      <c r="Z64" s="6">
        <f t="shared" si="19"/>
        <v>-2.6995022580567195E-2</v>
      </c>
    </row>
    <row r="65" spans="1:26" s="70" customFormat="1" ht="15" hidden="1" customHeight="1" outlineLevel="2" x14ac:dyDescent="0.25">
      <c r="A65" s="25"/>
      <c r="B65" s="12" t="str">
        <f>CONCATENATE("          ","6001"," - ","ADMINISTRATIVE SALARIES")</f>
        <v xml:space="preserve">          6001 - ADMINISTRATIVE SALARIES</v>
      </c>
      <c r="C65" s="12"/>
      <c r="D65" s="8">
        <v>3726.6</v>
      </c>
      <c r="E65" s="3"/>
      <c r="F65" s="7">
        <f t="shared" si="12"/>
        <v>4.345138251324961E-3</v>
      </c>
      <c r="G65" s="3"/>
      <c r="H65" s="8">
        <v>4139.8076923076896</v>
      </c>
      <c r="I65" s="3"/>
      <c r="J65" s="7">
        <f t="shared" si="13"/>
        <v>1.0882231676934353E-2</v>
      </c>
      <c r="K65" s="3"/>
      <c r="L65" s="8">
        <f t="shared" si="14"/>
        <v>-413.20769230768974</v>
      </c>
      <c r="M65" s="3"/>
      <c r="N65" s="7">
        <f t="shared" si="15"/>
        <v>-9.9813257769312394E-2</v>
      </c>
      <c r="O65" s="12"/>
      <c r="P65" s="8">
        <v>51393.13</v>
      </c>
      <c r="Q65" s="3"/>
      <c r="R65" s="7">
        <f t="shared" si="16"/>
        <v>6.8348181686559515E-3</v>
      </c>
      <c r="S65" s="3"/>
      <c r="T65" s="8">
        <v>49677.692307692298</v>
      </c>
      <c r="U65" s="3"/>
      <c r="V65" s="7">
        <f t="shared" si="17"/>
        <v>5.7832395501264495E-3</v>
      </c>
      <c r="W65" s="3"/>
      <c r="X65" s="8">
        <f t="shared" si="18"/>
        <v>1715.4376923076998</v>
      </c>
      <c r="Y65" s="3"/>
      <c r="Z65" s="7">
        <f t="shared" si="19"/>
        <v>3.4531348229355538E-2</v>
      </c>
    </row>
    <row r="66" spans="1:26" s="70" customFormat="1" ht="15" hidden="1" customHeight="1" outlineLevel="2" x14ac:dyDescent="0.25">
      <c r="A66" s="25"/>
      <c r="B66" s="12" t="str">
        <f>CONCATENATE("          ","6002"," - ","STAFF SALARIES")</f>
        <v xml:space="preserve">          6002 - STAFF SALARIES</v>
      </c>
      <c r="C66" s="12"/>
      <c r="D66" s="8">
        <v>42271.360000000001</v>
      </c>
      <c r="E66" s="3"/>
      <c r="F66" s="7">
        <f t="shared" si="12"/>
        <v>4.9287528382849756E-2</v>
      </c>
      <c r="G66" s="3"/>
      <c r="H66" s="8">
        <v>40067.404623407601</v>
      </c>
      <c r="I66" s="3"/>
      <c r="J66" s="7">
        <f t="shared" si="13"/>
        <v>0.10532440446825106</v>
      </c>
      <c r="K66" s="3"/>
      <c r="L66" s="8">
        <f t="shared" si="14"/>
        <v>2203.9553765923993</v>
      </c>
      <c r="M66" s="3"/>
      <c r="N66" s="7">
        <f t="shared" si="15"/>
        <v>5.5006192622340112E-2</v>
      </c>
      <c r="O66" s="12"/>
      <c r="P66" s="8">
        <v>616100.42000000004</v>
      </c>
      <c r="Q66" s="3"/>
      <c r="R66" s="7">
        <f t="shared" si="16"/>
        <v>8.1935744025175408E-2</v>
      </c>
      <c r="S66" s="3"/>
      <c r="T66" s="8">
        <v>498773.44201935403</v>
      </c>
      <c r="U66" s="3"/>
      <c r="V66" s="7">
        <f t="shared" si="17"/>
        <v>5.80648206960366E-2</v>
      </c>
      <c r="W66" s="3"/>
      <c r="X66" s="8">
        <f t="shared" si="18"/>
        <v>117326.97798064601</v>
      </c>
      <c r="Y66" s="3"/>
      <c r="Z66" s="7">
        <f t="shared" si="19"/>
        <v>0.23523100489398821</v>
      </c>
    </row>
    <row r="67" spans="1:26" s="70" customFormat="1" ht="15" hidden="1" customHeight="1" outlineLevel="2" x14ac:dyDescent="0.25">
      <c r="A67" s="25"/>
      <c r="B67" s="12" t="str">
        <f>CONCATENATE("          ","6003"," - ","STAFF HOURLY-9 MONTH")</f>
        <v xml:space="preserve">          6003 - STAFF HOURLY-9 MONTH</v>
      </c>
      <c r="C67" s="12"/>
      <c r="D67" s="8"/>
      <c r="E67" s="3"/>
      <c r="F67" s="7">
        <f t="shared" si="12"/>
        <v>0</v>
      </c>
      <c r="G67" s="3"/>
      <c r="H67" s="8">
        <v>0</v>
      </c>
      <c r="I67" s="3"/>
      <c r="J67" s="7">
        <f t="shared" si="13"/>
        <v>0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/>
      <c r="Q67" s="3"/>
      <c r="R67" s="7">
        <f t="shared" si="16"/>
        <v>0</v>
      </c>
      <c r="S67" s="3"/>
      <c r="T67" s="8">
        <v>0</v>
      </c>
      <c r="U67" s="3"/>
      <c r="V67" s="7">
        <f t="shared" si="17"/>
        <v>0</v>
      </c>
      <c r="W67" s="3"/>
      <c r="X67" s="8">
        <f t="shared" si="18"/>
        <v>0</v>
      </c>
      <c r="Y67" s="3"/>
      <c r="Z67" s="7">
        <f t="shared" si="19"/>
        <v>0</v>
      </c>
    </row>
    <row r="68" spans="1:26" s="70" customFormat="1" ht="15" hidden="1" customHeight="1" outlineLevel="2" x14ac:dyDescent="0.25">
      <c r="A68" s="25"/>
      <c r="B68" s="12" t="str">
        <f>CONCATENATE("          ","6004"," - ","STAFF HOURLY")</f>
        <v xml:space="preserve">          6004 - STAFF HOURLY</v>
      </c>
      <c r="C68" s="12"/>
      <c r="D68" s="8">
        <v>27548.76</v>
      </c>
      <c r="E68" s="3"/>
      <c r="F68" s="7">
        <f t="shared" si="12"/>
        <v>3.2121282362628407E-2</v>
      </c>
      <c r="G68" s="3"/>
      <c r="H68" s="8">
        <v>36029.393568</v>
      </c>
      <c r="I68" s="3"/>
      <c r="J68" s="7">
        <f t="shared" si="13"/>
        <v>9.4709763623793769E-2</v>
      </c>
      <c r="K68" s="3"/>
      <c r="L68" s="8">
        <f t="shared" si="14"/>
        <v>-8480.6335680000011</v>
      </c>
      <c r="M68" s="3"/>
      <c r="N68" s="7">
        <f t="shared" si="15"/>
        <v>-0.2353809689301069</v>
      </c>
      <c r="O68" s="12"/>
      <c r="P68" s="8">
        <v>272763.78999999998</v>
      </c>
      <c r="Q68" s="3"/>
      <c r="R68" s="7">
        <f t="shared" si="16"/>
        <v>3.6275099563763805E-2</v>
      </c>
      <c r="S68" s="3"/>
      <c r="T68" s="8">
        <v>418747.86061600002</v>
      </c>
      <c r="U68" s="3"/>
      <c r="V68" s="7">
        <f t="shared" si="17"/>
        <v>4.8748624916908637E-2</v>
      </c>
      <c r="W68" s="3"/>
      <c r="X68" s="8">
        <f t="shared" si="18"/>
        <v>-145984.07061600004</v>
      </c>
      <c r="Y68" s="3"/>
      <c r="Z68" s="7">
        <f t="shared" si="19"/>
        <v>-0.3486204571917092</v>
      </c>
    </row>
    <row r="69" spans="1:26" s="70" customFormat="1" ht="15" hidden="1" customHeight="1" outlineLevel="2" x14ac:dyDescent="0.25">
      <c r="A69" s="25"/>
      <c r="B69" s="12" t="str">
        <f>CONCATENATE("          ","6005"," - ","TEMPORARY WAGES-HOURLY")</f>
        <v xml:space="preserve">          6005 - TEMPORARY WAGES-HOURLY</v>
      </c>
      <c r="C69" s="12"/>
      <c r="D69" s="8">
        <v>2184.14</v>
      </c>
      <c r="E69" s="3"/>
      <c r="F69" s="7">
        <f t="shared" si="12"/>
        <v>2.5466619063620726E-3</v>
      </c>
      <c r="G69" s="3"/>
      <c r="H69" s="8">
        <v>2252.5</v>
      </c>
      <c r="I69" s="3"/>
      <c r="J69" s="7">
        <f t="shared" si="13"/>
        <v>5.9211027840354981E-3</v>
      </c>
      <c r="K69" s="3"/>
      <c r="L69" s="8">
        <f t="shared" si="14"/>
        <v>-68.360000000000127</v>
      </c>
      <c r="M69" s="3"/>
      <c r="N69" s="7">
        <f t="shared" si="15"/>
        <v>-3.0348501664816927E-2</v>
      </c>
      <c r="O69" s="12"/>
      <c r="P69" s="8">
        <v>80884.62</v>
      </c>
      <c r="Q69" s="3"/>
      <c r="R69" s="7">
        <f t="shared" si="16"/>
        <v>1.0756917711391241E-2</v>
      </c>
      <c r="S69" s="3"/>
      <c r="T69" s="8">
        <v>33631.5</v>
      </c>
      <c r="U69" s="3"/>
      <c r="V69" s="7">
        <f t="shared" si="17"/>
        <v>3.9152185195196892E-3</v>
      </c>
      <c r="W69" s="3"/>
      <c r="X69" s="8">
        <f t="shared" si="18"/>
        <v>47253.119999999995</v>
      </c>
      <c r="Y69" s="3"/>
      <c r="Z69" s="7">
        <f t="shared" si="19"/>
        <v>1.4050256456001069</v>
      </c>
    </row>
    <row r="70" spans="1:26" s="70" customFormat="1" ht="15" hidden="1" customHeight="1" outlineLevel="2" x14ac:dyDescent="0.25">
      <c r="A70" s="25"/>
      <c r="B70" s="12" t="str">
        <f>CONCATENATE("          ","6006"," - ","TEMPORARY PART TIME")</f>
        <v xml:space="preserve">          6006 - TEMPORARY PART TIME</v>
      </c>
      <c r="C70" s="12"/>
      <c r="D70" s="8">
        <v>1520.8</v>
      </c>
      <c r="E70" s="3"/>
      <c r="F70" s="7">
        <f t="shared" si="12"/>
        <v>1.7732212345341598E-3</v>
      </c>
      <c r="G70" s="3"/>
      <c r="H70" s="8">
        <v>0</v>
      </c>
      <c r="I70" s="3"/>
      <c r="J70" s="7">
        <f t="shared" si="13"/>
        <v>0</v>
      </c>
      <c r="K70" s="3"/>
      <c r="L70" s="8">
        <f t="shared" si="14"/>
        <v>1520.8</v>
      </c>
      <c r="M70" s="3"/>
      <c r="N70" s="7">
        <f t="shared" si="15"/>
        <v>0</v>
      </c>
      <c r="O70" s="12"/>
      <c r="P70" s="8">
        <v>19354.939999999999</v>
      </c>
      <c r="Q70" s="3"/>
      <c r="R70" s="7">
        <f t="shared" si="16"/>
        <v>2.5740307228854483E-3</v>
      </c>
      <c r="S70" s="3"/>
      <c r="T70" s="8">
        <v>0</v>
      </c>
      <c r="U70" s="3"/>
      <c r="V70" s="7">
        <f t="shared" si="17"/>
        <v>0</v>
      </c>
      <c r="W70" s="3"/>
      <c r="X70" s="8">
        <f t="shared" si="18"/>
        <v>19354.939999999999</v>
      </c>
      <c r="Y70" s="3"/>
      <c r="Z70" s="7">
        <f t="shared" si="19"/>
        <v>0</v>
      </c>
    </row>
    <row r="71" spans="1:26" s="70" customFormat="1" ht="15" hidden="1" customHeight="1" outlineLevel="2" x14ac:dyDescent="0.25">
      <c r="A71" s="25"/>
      <c r="B71" s="12" t="str">
        <f>CONCATENATE("          ","6007"," - ","STUDENT HOURLY")</f>
        <v xml:space="preserve">          6007 - STUDENT HOURLY</v>
      </c>
      <c r="C71" s="12"/>
      <c r="D71" s="8">
        <v>69769.31</v>
      </c>
      <c r="E71" s="3"/>
      <c r="F71" s="7">
        <f t="shared" si="12"/>
        <v>8.1349567340081863E-2</v>
      </c>
      <c r="G71" s="3"/>
      <c r="H71" s="8">
        <v>30466.416000000001</v>
      </c>
      <c r="I71" s="3"/>
      <c r="J71" s="7">
        <f t="shared" si="13"/>
        <v>8.0086473073111494E-2</v>
      </c>
      <c r="K71" s="3"/>
      <c r="L71" s="8">
        <f t="shared" si="14"/>
        <v>39302.894</v>
      </c>
      <c r="M71" s="3"/>
      <c r="N71" s="7">
        <f t="shared" si="15"/>
        <v>1.29003995744035</v>
      </c>
      <c r="O71" s="12"/>
      <c r="P71" s="8">
        <v>690627.85</v>
      </c>
      <c r="Q71" s="3"/>
      <c r="R71" s="7">
        <f t="shared" si="16"/>
        <v>9.1847213371900036E-2</v>
      </c>
      <c r="S71" s="3"/>
      <c r="T71" s="8">
        <v>395698.962</v>
      </c>
      <c r="U71" s="3"/>
      <c r="V71" s="7">
        <f t="shared" si="17"/>
        <v>4.6065382280811674E-2</v>
      </c>
      <c r="W71" s="3"/>
      <c r="X71" s="8">
        <f t="shared" si="18"/>
        <v>294928.88799999998</v>
      </c>
      <c r="Y71" s="3"/>
      <c r="Z71" s="7">
        <f t="shared" si="19"/>
        <v>0.74533652175716336</v>
      </c>
    </row>
    <row r="72" spans="1:26" s="70" customFormat="1" ht="15" hidden="1" customHeight="1" outlineLevel="2" x14ac:dyDescent="0.25">
      <c r="A72" s="25"/>
      <c r="B72" s="12" t="str">
        <f>CONCATENATE("          ","6008"," - ","STUDENT HOURLY-FICA EXEMPT")</f>
        <v xml:space="preserve">          6008 - STUDENT HOURLY-FICA EXEMPT</v>
      </c>
      <c r="C72" s="12"/>
      <c r="D72" s="8">
        <v>10071.09</v>
      </c>
      <c r="E72" s="3"/>
      <c r="F72" s="7">
        <f t="shared" si="12"/>
        <v>1.1742681906170853E-2</v>
      </c>
      <c r="G72" s="3"/>
      <c r="H72" s="8">
        <v>33739.772324999998</v>
      </c>
      <c r="I72" s="3"/>
      <c r="J72" s="7">
        <f t="shared" si="13"/>
        <v>8.8691080952844101E-2</v>
      </c>
      <c r="K72" s="3"/>
      <c r="L72" s="8">
        <f t="shared" si="14"/>
        <v>-23668.682324999998</v>
      </c>
      <c r="M72" s="3"/>
      <c r="N72" s="7">
        <f t="shared" si="15"/>
        <v>-0.70150687731411654</v>
      </c>
      <c r="O72" s="12"/>
      <c r="P72" s="8">
        <v>117051.9</v>
      </c>
      <c r="Q72" s="3"/>
      <c r="R72" s="7">
        <f t="shared" si="16"/>
        <v>1.5566836516781514E-2</v>
      </c>
      <c r="S72" s="3"/>
      <c r="T72" s="8">
        <v>502922.953775</v>
      </c>
      <c r="U72" s="3"/>
      <c r="V72" s="7">
        <f t="shared" si="17"/>
        <v>5.8547887025896098E-2</v>
      </c>
      <c r="W72" s="3"/>
      <c r="X72" s="8">
        <f t="shared" si="18"/>
        <v>-385871.05377500004</v>
      </c>
      <c r="Y72" s="3"/>
      <c r="Z72" s="7">
        <f t="shared" si="19"/>
        <v>-0.76725679525781365</v>
      </c>
    </row>
    <row r="73" spans="1:26" s="70" customFormat="1" ht="15" hidden="1" customHeight="1" outlineLevel="2" x14ac:dyDescent="0.25">
      <c r="A73" s="25"/>
      <c r="B73" s="12" t="str">
        <f>CONCATENATE("          ","6009"," - ","TEMPORARY-SEASONAL")</f>
        <v xml:space="preserve">          6009 - TEMPORARY-SEASONAL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25">
      <c r="A74" s="25"/>
      <c r="B74" s="12" t="str">
        <f>CONCATENATE("          ","6010"," - ","GRATUITY")</f>
        <v xml:space="preserve">          6010 - GRATUITY</v>
      </c>
      <c r="C74" s="12"/>
      <c r="D74" s="8"/>
      <c r="E74" s="3"/>
      <c r="F74" s="7">
        <f t="shared" si="12"/>
        <v>0</v>
      </c>
      <c r="G74" s="3"/>
      <c r="H74" s="8">
        <v>0</v>
      </c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/>
      <c r="Q74" s="3"/>
      <c r="R74" s="7">
        <f t="shared" si="16"/>
        <v>0</v>
      </c>
      <c r="S74" s="3"/>
      <c r="T74" s="8">
        <v>0</v>
      </c>
      <c r="U74" s="3"/>
      <c r="V74" s="7">
        <f t="shared" si="17"/>
        <v>0</v>
      </c>
      <c r="W74" s="3"/>
      <c r="X74" s="8">
        <f t="shared" si="18"/>
        <v>0</v>
      </c>
      <c r="Y74" s="3"/>
      <c r="Z74" s="7">
        <f t="shared" si="19"/>
        <v>0</v>
      </c>
    </row>
    <row r="75" spans="1:26" s="69" customFormat="1" ht="15" customHeight="1" outlineLevel="1" collapsed="1" x14ac:dyDescent="0.25">
      <c r="A75" s="26"/>
      <c r="B75" s="14" t="str">
        <f>CONCATENATE("     ","Advertising/Promo                                 ")</f>
        <v xml:space="preserve">     Advertising/Promo                                 </v>
      </c>
      <c r="C75" s="14"/>
      <c r="D75" s="2">
        <f>SUM(OSRRefD22_2x_0)</f>
        <v>1274.8800000000001</v>
      </c>
      <c r="E75" s="2"/>
      <c r="F75" s="6">
        <f t="shared" si="12"/>
        <v>1.4864836188078052E-3</v>
      </c>
      <c r="G75" s="2"/>
      <c r="H75" s="2">
        <f>SUM(OSRRefH22_2x_0)</f>
        <v>400</v>
      </c>
      <c r="I75" s="2"/>
      <c r="J75" s="6">
        <f t="shared" si="13"/>
        <v>1.0514721925035291E-3</v>
      </c>
      <c r="K75" s="2"/>
      <c r="L75" s="2">
        <f t="shared" si="14"/>
        <v>874.88000000000011</v>
      </c>
      <c r="M75" s="2"/>
      <c r="N75" s="6">
        <f t="shared" si="15"/>
        <v>2.1872000000000003</v>
      </c>
      <c r="O75" s="14"/>
      <c r="P75" s="2">
        <f>SUM(OSRRefP22_2x_0)</f>
        <v>13485.16</v>
      </c>
      <c r="Q75" s="2"/>
      <c r="R75" s="6">
        <f t="shared" si="16"/>
        <v>1.7934034485782922E-3</v>
      </c>
      <c r="S75" s="2"/>
      <c r="T75" s="2">
        <f>SUM(OSRRefT22_2x_0)</f>
        <v>6800</v>
      </c>
      <c r="U75" s="2"/>
      <c r="V75" s="6">
        <f t="shared" si="17"/>
        <v>7.9162350572332149E-4</v>
      </c>
      <c r="W75" s="2"/>
      <c r="X75" s="2">
        <f t="shared" si="18"/>
        <v>6685.16</v>
      </c>
      <c r="Y75" s="2"/>
      <c r="Z75" s="6">
        <f t="shared" si="19"/>
        <v>0.98311176470588235</v>
      </c>
    </row>
    <row r="76" spans="1:26" s="70" customFormat="1" ht="15" hidden="1" customHeight="1" outlineLevel="2" x14ac:dyDescent="0.25">
      <c r="A76" s="25"/>
      <c r="B76" s="12" t="str">
        <f>CONCATENATE("          ","6362"," - ","ADVERTISING EXPENSE")</f>
        <v xml:space="preserve">          6362 - ADVERTISING EXPENSE</v>
      </c>
      <c r="C76" s="12"/>
      <c r="D76" s="8">
        <v>1274.8800000000001</v>
      </c>
      <c r="E76" s="3"/>
      <c r="F76" s="7">
        <f t="shared" si="12"/>
        <v>1.4864836188078052E-3</v>
      </c>
      <c r="G76" s="3"/>
      <c r="H76" s="8">
        <v>400</v>
      </c>
      <c r="I76" s="3"/>
      <c r="J76" s="7">
        <f t="shared" si="13"/>
        <v>1.0514721925035291E-3</v>
      </c>
      <c r="K76" s="3"/>
      <c r="L76" s="8">
        <f t="shared" si="14"/>
        <v>874.88000000000011</v>
      </c>
      <c r="M76" s="3"/>
      <c r="N76" s="7">
        <f t="shared" si="15"/>
        <v>2.1872000000000003</v>
      </c>
      <c r="O76" s="12"/>
      <c r="P76" s="8">
        <v>13485.16</v>
      </c>
      <c r="Q76" s="3"/>
      <c r="R76" s="7">
        <f t="shared" si="16"/>
        <v>1.7934034485782922E-3</v>
      </c>
      <c r="S76" s="3"/>
      <c r="T76" s="8">
        <v>6800</v>
      </c>
      <c r="U76" s="3"/>
      <c r="V76" s="7">
        <f t="shared" si="17"/>
        <v>7.9162350572332149E-4</v>
      </c>
      <c r="W76" s="3"/>
      <c r="X76" s="8">
        <f t="shared" si="18"/>
        <v>6685.16</v>
      </c>
      <c r="Y76" s="3"/>
      <c r="Z76" s="7">
        <f t="shared" si="19"/>
        <v>0.98311176470588235</v>
      </c>
    </row>
    <row r="77" spans="1:26" s="69" customFormat="1" ht="15" customHeight="1" outlineLevel="1" collapsed="1" x14ac:dyDescent="0.25">
      <c r="A77" s="26"/>
      <c r="B77" s="14" t="str">
        <f>CONCATENATE("     ","Bad Debts/Over/Short                              ")</f>
        <v xml:space="preserve">     Bad Debts/Over/Short                              </v>
      </c>
      <c r="C77" s="14"/>
      <c r="D77" s="2">
        <f>SUM(OSRRefD22_3x_0)</f>
        <v>23.48</v>
      </c>
      <c r="E77" s="2"/>
      <c r="F77" s="6">
        <f t="shared" si="12"/>
        <v>2.7377192653118145E-5</v>
      </c>
      <c r="G77" s="2"/>
      <c r="H77" s="2">
        <f>SUM(OSRRefH22_3x_0)</f>
        <v>235</v>
      </c>
      <c r="I77" s="2"/>
      <c r="J77" s="6">
        <f t="shared" si="13"/>
        <v>6.1773991309582331E-4</v>
      </c>
      <c r="K77" s="2"/>
      <c r="L77" s="2">
        <f t="shared" si="14"/>
        <v>-211.52</v>
      </c>
      <c r="M77" s="2"/>
      <c r="N77" s="6">
        <f t="shared" si="15"/>
        <v>-0.90008510638297878</v>
      </c>
      <c r="O77" s="14"/>
      <c r="P77" s="2">
        <f>SUM(OSRRefP22_3x_0)</f>
        <v>30.24</v>
      </c>
      <c r="Q77" s="2"/>
      <c r="R77" s="6">
        <f t="shared" si="16"/>
        <v>4.0216445548297207E-6</v>
      </c>
      <c r="S77" s="2"/>
      <c r="T77" s="2">
        <f>SUM(OSRRefT22_3x_0)</f>
        <v>2585</v>
      </c>
      <c r="U77" s="2"/>
      <c r="V77" s="6">
        <f t="shared" si="17"/>
        <v>3.009333473962921E-4</v>
      </c>
      <c r="W77" s="2"/>
      <c r="X77" s="2">
        <f t="shared" si="18"/>
        <v>-2554.7600000000002</v>
      </c>
      <c r="Y77" s="2"/>
      <c r="Z77" s="6">
        <f t="shared" si="19"/>
        <v>-0.9883017408123792</v>
      </c>
    </row>
    <row r="78" spans="1:26" s="70" customFormat="1" ht="15" hidden="1" customHeight="1" outlineLevel="2" x14ac:dyDescent="0.25">
      <c r="A78" s="25"/>
      <c r="B78" s="12" t="str">
        <f>CONCATENATE("          ","6272"," - ","CASH (OVER/SHORT)")</f>
        <v xml:space="preserve">          6272 - CASH (OVER/SHORT)</v>
      </c>
      <c r="C78" s="12"/>
      <c r="D78" s="8">
        <v>23.48</v>
      </c>
      <c r="E78" s="3"/>
      <c r="F78" s="7">
        <f t="shared" si="12"/>
        <v>2.7377192653118145E-5</v>
      </c>
      <c r="G78" s="3"/>
      <c r="H78" s="8">
        <v>235</v>
      </c>
      <c r="I78" s="3"/>
      <c r="J78" s="7">
        <f t="shared" si="13"/>
        <v>6.1773991309582331E-4</v>
      </c>
      <c r="K78" s="3"/>
      <c r="L78" s="8">
        <f t="shared" si="14"/>
        <v>-211.52</v>
      </c>
      <c r="M78" s="3"/>
      <c r="N78" s="7">
        <f t="shared" si="15"/>
        <v>-0.90008510638297878</v>
      </c>
      <c r="O78" s="12"/>
      <c r="P78" s="8">
        <v>30.24</v>
      </c>
      <c r="Q78" s="3"/>
      <c r="R78" s="7">
        <f t="shared" si="16"/>
        <v>4.0216445548297207E-6</v>
      </c>
      <c r="S78" s="3"/>
      <c r="T78" s="8">
        <v>2585</v>
      </c>
      <c r="U78" s="3"/>
      <c r="V78" s="7">
        <f t="shared" si="17"/>
        <v>3.009333473962921E-4</v>
      </c>
      <c r="W78" s="3"/>
      <c r="X78" s="8">
        <f t="shared" si="18"/>
        <v>-2554.7600000000002</v>
      </c>
      <c r="Y78" s="3"/>
      <c r="Z78" s="7">
        <f t="shared" si="19"/>
        <v>-0.9883017408123792</v>
      </c>
    </row>
    <row r="79" spans="1:26" s="69" customFormat="1" ht="15" customHeight="1" outlineLevel="1" collapsed="1" x14ac:dyDescent="0.25">
      <c r="A79" s="26"/>
      <c r="B79" s="14" t="str">
        <f>CONCATENATE("     ","Bank/card Fees                                    ")</f>
        <v xml:space="preserve">     Bank/card Fees                                    </v>
      </c>
      <c r="C79" s="14"/>
      <c r="D79" s="2">
        <f>SUM(OSRRefD22_4x_0)</f>
        <v>16090.22</v>
      </c>
      <c r="E79" s="2"/>
      <c r="F79" s="6">
        <f t="shared" si="12"/>
        <v>1.8760862554133503E-2</v>
      </c>
      <c r="G79" s="2"/>
      <c r="H79" s="2">
        <f>SUM(OSRRefH22_4x_0)</f>
        <v>13471</v>
      </c>
      <c r="I79" s="2"/>
      <c r="J79" s="6">
        <f t="shared" si="13"/>
        <v>3.54109547630376E-2</v>
      </c>
      <c r="K79" s="2"/>
      <c r="L79" s="2">
        <f t="shared" si="14"/>
        <v>2619.2199999999993</v>
      </c>
      <c r="M79" s="2"/>
      <c r="N79" s="6">
        <f t="shared" si="15"/>
        <v>0.19443396926731493</v>
      </c>
      <c r="O79" s="14"/>
      <c r="P79" s="2">
        <f>SUM(OSRRefP22_4x_0)</f>
        <v>142870.16</v>
      </c>
      <c r="Q79" s="2"/>
      <c r="R79" s="6">
        <f t="shared" si="16"/>
        <v>1.9000429927633962E-2</v>
      </c>
      <c r="S79" s="2"/>
      <c r="T79" s="2">
        <f>SUM(OSRRefT22_4x_0)</f>
        <v>176988</v>
      </c>
      <c r="U79" s="2"/>
      <c r="V79" s="6">
        <f t="shared" si="17"/>
        <v>2.0604097210435181E-2</v>
      </c>
      <c r="W79" s="2"/>
      <c r="X79" s="2">
        <f t="shared" si="18"/>
        <v>-34117.839999999997</v>
      </c>
      <c r="Y79" s="2"/>
      <c r="Z79" s="6">
        <f t="shared" si="19"/>
        <v>-0.19276922729224577</v>
      </c>
    </row>
    <row r="80" spans="1:26" s="70" customFormat="1" ht="15" hidden="1" customHeight="1" outlineLevel="2" x14ac:dyDescent="0.25">
      <c r="A80" s="25"/>
      <c r="B80" s="12" t="str">
        <f>CONCATENATE("          ","6381"," - ","BANK/CREDIT CARD FEES")</f>
        <v xml:space="preserve">          6381 - BANK/CREDIT CARD FEES</v>
      </c>
      <c r="C80" s="12"/>
      <c r="D80" s="8">
        <v>16090.22</v>
      </c>
      <c r="E80" s="3"/>
      <c r="F80" s="7">
        <f t="shared" si="12"/>
        <v>1.8760862554133503E-2</v>
      </c>
      <c r="G80" s="3"/>
      <c r="H80" s="8">
        <v>13471</v>
      </c>
      <c r="I80" s="3"/>
      <c r="J80" s="7">
        <f t="shared" si="13"/>
        <v>3.54109547630376E-2</v>
      </c>
      <c r="K80" s="3"/>
      <c r="L80" s="8">
        <f t="shared" si="14"/>
        <v>2619.2199999999993</v>
      </c>
      <c r="M80" s="3"/>
      <c r="N80" s="7">
        <f t="shared" si="15"/>
        <v>0.19443396926731493</v>
      </c>
      <c r="O80" s="12"/>
      <c r="P80" s="8">
        <v>142870.16</v>
      </c>
      <c r="Q80" s="3"/>
      <c r="R80" s="7">
        <f t="shared" si="16"/>
        <v>1.9000429927633962E-2</v>
      </c>
      <c r="S80" s="3"/>
      <c r="T80" s="8">
        <v>176988</v>
      </c>
      <c r="U80" s="3"/>
      <c r="V80" s="7">
        <f t="shared" si="17"/>
        <v>2.0604097210435181E-2</v>
      </c>
      <c r="W80" s="3"/>
      <c r="X80" s="8">
        <f t="shared" si="18"/>
        <v>-34117.839999999997</v>
      </c>
      <c r="Y80" s="3"/>
      <c r="Z80" s="7">
        <f t="shared" si="19"/>
        <v>-0.19276922729224577</v>
      </c>
    </row>
    <row r="81" spans="1:26" s="69" customFormat="1" ht="15" customHeight="1" outlineLevel="1" collapsed="1" x14ac:dyDescent="0.25">
      <c r="A81" s="26"/>
      <c r="B81" s="14" t="str">
        <f>CONCATENATE("     ","Depreciation                                      ")</f>
        <v xml:space="preserve">     Depreciation                                      </v>
      </c>
      <c r="C81" s="14"/>
      <c r="D81" s="2">
        <f>SUM(OSRRefD22_5x_0)</f>
        <v>16380.05</v>
      </c>
      <c r="E81" s="2"/>
      <c r="F81" s="6">
        <f t="shared" si="12"/>
        <v>1.9098798318471374E-2</v>
      </c>
      <c r="G81" s="2"/>
      <c r="H81" s="2">
        <f>SUM(OSRRefH22_5x_0)</f>
        <v>16259</v>
      </c>
      <c r="I81" s="2"/>
      <c r="J81" s="6">
        <f t="shared" si="13"/>
        <v>4.2739715944787197E-2</v>
      </c>
      <c r="K81" s="2"/>
      <c r="L81" s="2">
        <f t="shared" si="14"/>
        <v>121.04999999999927</v>
      </c>
      <c r="M81" s="2"/>
      <c r="N81" s="6">
        <f t="shared" si="15"/>
        <v>7.4451073251737051E-3</v>
      </c>
      <c r="O81" s="14"/>
      <c r="P81" s="2">
        <f>SUM(OSRRefP22_5x_0)</f>
        <v>300196.67</v>
      </c>
      <c r="Q81" s="2"/>
      <c r="R81" s="6">
        <f t="shared" si="16"/>
        <v>3.992342272762945E-2</v>
      </c>
      <c r="S81" s="2"/>
      <c r="T81" s="2">
        <f>SUM(OSRRefT22_5x_0)</f>
        <v>298866</v>
      </c>
      <c r="U81" s="2"/>
      <c r="V81" s="6">
        <f t="shared" si="17"/>
        <v>3.4792551567868563E-2</v>
      </c>
      <c r="W81" s="2"/>
      <c r="X81" s="2">
        <f t="shared" si="18"/>
        <v>1330.6699999999837</v>
      </c>
      <c r="Y81" s="2"/>
      <c r="Z81" s="6">
        <f t="shared" si="19"/>
        <v>4.4523967262919961E-3</v>
      </c>
    </row>
    <row r="82" spans="1:26" s="70" customFormat="1" ht="15" hidden="1" customHeight="1" outlineLevel="2" x14ac:dyDescent="0.25">
      <c r="A82" s="25"/>
      <c r="B82" s="12" t="str">
        <f>CONCATENATE("          ","6321"," - ","BUILDING DEPRECIATION")</f>
        <v xml:space="preserve">          6321 - BUILDING DEPRECIATION</v>
      </c>
      <c r="C82" s="12"/>
      <c r="D82" s="8">
        <v>13321.71</v>
      </c>
      <c r="E82" s="3"/>
      <c r="F82" s="7">
        <f t="shared" si="12"/>
        <v>1.5532837356855643E-2</v>
      </c>
      <c r="G82" s="3"/>
      <c r="H82" s="8"/>
      <c r="I82" s="3"/>
      <c r="J82" s="7">
        <f t="shared" si="13"/>
        <v>0</v>
      </c>
      <c r="K82" s="3"/>
      <c r="L82" s="8">
        <f t="shared" si="14"/>
        <v>13321.71</v>
      </c>
      <c r="M82" s="3"/>
      <c r="N82" s="7">
        <f t="shared" si="15"/>
        <v>0</v>
      </c>
      <c r="O82" s="12"/>
      <c r="P82" s="8">
        <v>165797.54999999999</v>
      </c>
      <c r="Q82" s="3"/>
      <c r="R82" s="7">
        <f t="shared" si="16"/>
        <v>2.2049563960370645E-2</v>
      </c>
      <c r="S82" s="3"/>
      <c r="T82" s="8"/>
      <c r="U82" s="3"/>
      <c r="V82" s="7">
        <f t="shared" si="17"/>
        <v>0</v>
      </c>
      <c r="W82" s="3"/>
      <c r="X82" s="8">
        <f t="shared" si="18"/>
        <v>165797.54999999999</v>
      </c>
      <c r="Y82" s="3"/>
      <c r="Z82" s="7">
        <f t="shared" si="19"/>
        <v>0</v>
      </c>
    </row>
    <row r="83" spans="1:26" s="70" customFormat="1" ht="15" hidden="1" customHeight="1" outlineLevel="2" x14ac:dyDescent="0.25">
      <c r="A83" s="25"/>
      <c r="B83" s="12" t="str">
        <f>CONCATENATE("          ","6322"," - ","EQUIPMENT DEPRECIATION EXPENSE")</f>
        <v xml:space="preserve">          6322 - EQUIPMENT DEPRECIATION EXPENSE</v>
      </c>
      <c r="C83" s="12"/>
      <c r="D83" s="8">
        <v>3058.34</v>
      </c>
      <c r="E83" s="3"/>
      <c r="F83" s="7">
        <f t="shared" si="12"/>
        <v>3.5659609616157306E-3</v>
      </c>
      <c r="G83" s="3"/>
      <c r="H83" s="8">
        <v>16259</v>
      </c>
      <c r="I83" s="3"/>
      <c r="J83" s="7">
        <f t="shared" si="13"/>
        <v>4.2739715944787197E-2</v>
      </c>
      <c r="K83" s="3"/>
      <c r="L83" s="8">
        <f t="shared" si="14"/>
        <v>-13200.66</v>
      </c>
      <c r="M83" s="3"/>
      <c r="N83" s="7">
        <f t="shared" si="15"/>
        <v>-0.81189864075281382</v>
      </c>
      <c r="O83" s="12"/>
      <c r="P83" s="8">
        <v>134399.12</v>
      </c>
      <c r="Q83" s="3"/>
      <c r="R83" s="7">
        <f t="shared" si="16"/>
        <v>1.7873858767258805E-2</v>
      </c>
      <c r="S83" s="3"/>
      <c r="T83" s="8">
        <v>298866</v>
      </c>
      <c r="U83" s="3"/>
      <c r="V83" s="7">
        <f t="shared" si="17"/>
        <v>3.4792551567868563E-2</v>
      </c>
      <c r="W83" s="3"/>
      <c r="X83" s="8">
        <f t="shared" si="18"/>
        <v>-164466.88</v>
      </c>
      <c r="Y83" s="3"/>
      <c r="Z83" s="7">
        <f t="shared" si="19"/>
        <v>-0.55030307897184694</v>
      </c>
    </row>
    <row r="84" spans="1:26" s="69" customFormat="1" ht="15" customHeight="1" outlineLevel="1" collapsed="1" x14ac:dyDescent="0.25">
      <c r="A84" s="26"/>
      <c r="B84" s="14" t="str">
        <f>CONCATENATE("     ","Discounts and Markdowns                           ")</f>
        <v xml:space="preserve">     Discounts and Markdowns                           </v>
      </c>
      <c r="C84" s="14"/>
      <c r="D84" s="2">
        <f>SUM(OSRRefD22_6x_0)</f>
        <v>-17.57</v>
      </c>
      <c r="E84" s="2"/>
      <c r="F84" s="6">
        <f t="shared" ref="F84:F115" si="20">IF(D$12=0,0,D84/D$12)</f>
        <v>-2.0486255320071797E-5</v>
      </c>
      <c r="G84" s="2"/>
      <c r="H84" s="2">
        <f>SUM(OSRRefH22_6x_0)</f>
        <v>0</v>
      </c>
      <c r="I84" s="2"/>
      <c r="J84" s="6">
        <f t="shared" ref="J84:J115" si="21">IF(H$12=0,0,H84/H$12)</f>
        <v>0</v>
      </c>
      <c r="K84" s="2"/>
      <c r="L84" s="2">
        <f t="shared" ref="L84:L115" si="22">+D84-H84</f>
        <v>-17.57</v>
      </c>
      <c r="M84" s="2"/>
      <c r="N84" s="6">
        <f t="shared" ref="N84:N115" si="23">IF(H84=0,0,L84/H84)</f>
        <v>0</v>
      </c>
      <c r="O84" s="14"/>
      <c r="P84" s="2">
        <f>SUM(OSRRefP22_6x_0)</f>
        <v>1989.08</v>
      </c>
      <c r="Q84" s="2"/>
      <c r="R84" s="6">
        <f t="shared" ref="R84:R115" si="24">IF(P$12=0,0,P84/P$12)</f>
        <v>2.645295221931449E-4</v>
      </c>
      <c r="S84" s="2"/>
      <c r="T84" s="2">
        <f>SUM(OSRRefT22_6x_0)</f>
        <v>0</v>
      </c>
      <c r="U84" s="2"/>
      <c r="V84" s="6">
        <f t="shared" ref="V84:V115" si="25">IF(T$12=0,0,T84/T$12)</f>
        <v>0</v>
      </c>
      <c r="W84" s="2"/>
      <c r="X84" s="2">
        <f t="shared" ref="X84:X115" si="26">+P84-T84</f>
        <v>1989.08</v>
      </c>
      <c r="Y84" s="2"/>
      <c r="Z84" s="6">
        <f t="shared" ref="Z84:Z115" si="27">IF(T84=0,0,X84/T84)</f>
        <v>0</v>
      </c>
    </row>
    <row r="85" spans="1:26" s="70" customFormat="1" ht="15" hidden="1" customHeight="1" outlineLevel="2" x14ac:dyDescent="0.25">
      <c r="A85" s="25"/>
      <c r="B85" s="12" t="str">
        <f>CONCATENATE("          ","6382"," - ","DISCOUNTS/MARK DOWNS")</f>
        <v xml:space="preserve">          6382 - DISCOUNTS/MARK DOWNS</v>
      </c>
      <c r="C85" s="12"/>
      <c r="D85" s="8"/>
      <c r="E85" s="3"/>
      <c r="F85" s="7">
        <f t="shared" si="20"/>
        <v>0</v>
      </c>
      <c r="G85" s="3"/>
      <c r="H85" s="8"/>
      <c r="I85" s="3"/>
      <c r="J85" s="7">
        <f t="shared" si="21"/>
        <v>0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>
        <v>2171.35</v>
      </c>
      <c r="Q85" s="3"/>
      <c r="R85" s="7">
        <f t="shared" si="24"/>
        <v>2.8876977196195484E-4</v>
      </c>
      <c r="S85" s="3"/>
      <c r="T85" s="8">
        <v>0</v>
      </c>
      <c r="U85" s="3"/>
      <c r="V85" s="7">
        <f t="shared" si="25"/>
        <v>0</v>
      </c>
      <c r="W85" s="3"/>
      <c r="X85" s="8">
        <f t="shared" si="26"/>
        <v>2171.35</v>
      </c>
      <c r="Y85" s="3"/>
      <c r="Z85" s="7">
        <f t="shared" si="27"/>
        <v>0</v>
      </c>
    </row>
    <row r="86" spans="1:26" s="70" customFormat="1" ht="15" hidden="1" customHeight="1" outlineLevel="2" x14ac:dyDescent="0.25">
      <c r="A86" s="25"/>
      <c r="B86" s="12" t="str">
        <f>CONCATENATE("          ","9175"," - ","EARNED DISCOUNTS")</f>
        <v xml:space="preserve">          9175 - EARNED DISCOUNTS</v>
      </c>
      <c r="C86" s="12"/>
      <c r="D86" s="8">
        <v>-17.57</v>
      </c>
      <c r="E86" s="3"/>
      <c r="F86" s="7">
        <f t="shared" si="20"/>
        <v>-2.0486255320071797E-5</v>
      </c>
      <c r="G86" s="3"/>
      <c r="H86" s="8"/>
      <c r="I86" s="3"/>
      <c r="J86" s="7">
        <f t="shared" si="21"/>
        <v>0</v>
      </c>
      <c r="K86" s="3"/>
      <c r="L86" s="8">
        <f t="shared" si="22"/>
        <v>-17.57</v>
      </c>
      <c r="M86" s="3"/>
      <c r="N86" s="7">
        <f t="shared" si="23"/>
        <v>0</v>
      </c>
      <c r="O86" s="12"/>
      <c r="P86" s="8">
        <v>-182.27</v>
      </c>
      <c r="Q86" s="3"/>
      <c r="R86" s="7">
        <f t="shared" si="24"/>
        <v>-2.4240249768809962E-5</v>
      </c>
      <c r="S86" s="3"/>
      <c r="T86" s="8"/>
      <c r="U86" s="3"/>
      <c r="V86" s="7">
        <f t="shared" si="25"/>
        <v>0</v>
      </c>
      <c r="W86" s="3"/>
      <c r="X86" s="8">
        <f t="shared" si="26"/>
        <v>-182.27</v>
      </c>
      <c r="Y86" s="3"/>
      <c r="Z86" s="7">
        <f t="shared" si="27"/>
        <v>0</v>
      </c>
    </row>
    <row r="87" spans="1:26" s="69" customFormat="1" ht="15" customHeight="1" outlineLevel="1" collapsed="1" x14ac:dyDescent="0.25">
      <c r="A87" s="26"/>
      <c r="B87" s="14" t="str">
        <f>CONCATENATE("     ","Donations                                         ")</f>
        <v xml:space="preserve">     Donations                                         </v>
      </c>
      <c r="C87" s="14"/>
      <c r="D87" s="2">
        <f>SUM(OSRRefD22_7x_0)</f>
        <v>132.07</v>
      </c>
      <c r="E87" s="2"/>
      <c r="F87" s="6">
        <f t="shared" si="20"/>
        <v>1.5399087877756871E-4</v>
      </c>
      <c r="G87" s="2"/>
      <c r="H87" s="2">
        <f>SUM(OSRRefH22_7x_0)</f>
        <v>1250</v>
      </c>
      <c r="I87" s="2"/>
      <c r="J87" s="6">
        <f t="shared" si="21"/>
        <v>3.2858506015735283E-3</v>
      </c>
      <c r="K87" s="2"/>
      <c r="L87" s="2">
        <f t="shared" si="22"/>
        <v>-1117.93</v>
      </c>
      <c r="M87" s="2"/>
      <c r="N87" s="6">
        <f t="shared" si="23"/>
        <v>-0.89434400000000003</v>
      </c>
      <c r="O87" s="14"/>
      <c r="P87" s="2">
        <f>SUM(OSRRefP22_7x_0)</f>
        <v>7438.87</v>
      </c>
      <c r="Q87" s="2"/>
      <c r="R87" s="6">
        <f t="shared" si="24"/>
        <v>9.893019520365795E-4</v>
      </c>
      <c r="S87" s="2"/>
      <c r="T87" s="2">
        <f>SUM(OSRRefT22_7x_0)</f>
        <v>13750</v>
      </c>
      <c r="U87" s="2"/>
      <c r="V87" s="6">
        <f t="shared" si="25"/>
        <v>1.600709294661128E-3</v>
      </c>
      <c r="W87" s="2"/>
      <c r="X87" s="2">
        <f t="shared" si="26"/>
        <v>-6311.13</v>
      </c>
      <c r="Y87" s="2"/>
      <c r="Z87" s="6">
        <f t="shared" si="27"/>
        <v>-0.45899127272727275</v>
      </c>
    </row>
    <row r="88" spans="1:26" s="70" customFormat="1" ht="15" hidden="1" customHeight="1" outlineLevel="2" x14ac:dyDescent="0.25">
      <c r="A88" s="25"/>
      <c r="B88" s="12" t="str">
        <f>CONCATENATE("          ","6399"," - ","DONATION-ON CAMPUS")</f>
        <v xml:space="preserve">          6399 - DONATION-ON CAMPUS</v>
      </c>
      <c r="C88" s="12"/>
      <c r="D88" s="8">
        <v>132.07</v>
      </c>
      <c r="E88" s="3"/>
      <c r="F88" s="7">
        <f t="shared" si="20"/>
        <v>1.5399087877756871E-4</v>
      </c>
      <c r="G88" s="3"/>
      <c r="H88" s="8">
        <v>1250</v>
      </c>
      <c r="I88" s="3"/>
      <c r="J88" s="7">
        <f t="shared" si="21"/>
        <v>3.2858506015735283E-3</v>
      </c>
      <c r="K88" s="3"/>
      <c r="L88" s="8">
        <f t="shared" si="22"/>
        <v>-1117.93</v>
      </c>
      <c r="M88" s="3"/>
      <c r="N88" s="7">
        <f t="shared" si="23"/>
        <v>-0.89434400000000003</v>
      </c>
      <c r="O88" s="12"/>
      <c r="P88" s="8">
        <v>7438.87</v>
      </c>
      <c r="Q88" s="3"/>
      <c r="R88" s="7">
        <f t="shared" si="24"/>
        <v>9.893019520365795E-4</v>
      </c>
      <c r="S88" s="3"/>
      <c r="T88" s="8">
        <v>13750</v>
      </c>
      <c r="U88" s="3"/>
      <c r="V88" s="7">
        <f t="shared" si="25"/>
        <v>1.600709294661128E-3</v>
      </c>
      <c r="W88" s="3"/>
      <c r="X88" s="8">
        <f t="shared" si="26"/>
        <v>-6311.13</v>
      </c>
      <c r="Y88" s="3"/>
      <c r="Z88" s="7">
        <f t="shared" si="27"/>
        <v>-0.45899127272727275</v>
      </c>
    </row>
    <row r="89" spans="1:26" s="69" customFormat="1" ht="15" customHeight="1" outlineLevel="1" collapsed="1" x14ac:dyDescent="0.25">
      <c r="A89" s="26"/>
      <c r="B89" s="14" t="str">
        <f>CONCATENATE("     ","Employees' Appreciation                           ")</f>
        <v xml:space="preserve">     Employees' Appreciation                           </v>
      </c>
      <c r="C89" s="14"/>
      <c r="D89" s="2">
        <f>SUM(OSRRefD22_8x_0)</f>
        <v>21.5</v>
      </c>
      <c r="E89" s="2"/>
      <c r="F89" s="6">
        <f t="shared" si="20"/>
        <v>2.5068553749660991E-5</v>
      </c>
      <c r="G89" s="2"/>
      <c r="H89" s="2">
        <f>SUM(OSRRefH22_8x_0)</f>
        <v>225</v>
      </c>
      <c r="I89" s="2"/>
      <c r="J89" s="6">
        <f t="shared" si="21"/>
        <v>5.9145310828323506E-4</v>
      </c>
      <c r="K89" s="2"/>
      <c r="L89" s="2">
        <f t="shared" si="22"/>
        <v>-203.5</v>
      </c>
      <c r="M89" s="2"/>
      <c r="N89" s="6">
        <f t="shared" si="23"/>
        <v>-0.9044444444444445</v>
      </c>
      <c r="O89" s="14"/>
      <c r="P89" s="2">
        <f>SUM(OSRRefP22_8x_0)</f>
        <v>4341.38</v>
      </c>
      <c r="Q89" s="2"/>
      <c r="R89" s="6">
        <f t="shared" si="24"/>
        <v>5.7736399594730998E-4</v>
      </c>
      <c r="S89" s="2"/>
      <c r="T89" s="2">
        <f>SUM(OSRRefT22_8x_0)</f>
        <v>2475</v>
      </c>
      <c r="U89" s="2"/>
      <c r="V89" s="6">
        <f t="shared" si="25"/>
        <v>2.8812767303900306E-4</v>
      </c>
      <c r="W89" s="2"/>
      <c r="X89" s="2">
        <f t="shared" si="26"/>
        <v>1866.38</v>
      </c>
      <c r="Y89" s="2"/>
      <c r="Z89" s="6">
        <f t="shared" si="27"/>
        <v>0.75409292929292937</v>
      </c>
    </row>
    <row r="90" spans="1:26" s="70" customFormat="1" ht="15" hidden="1" customHeight="1" outlineLevel="2" x14ac:dyDescent="0.25">
      <c r="A90" s="25"/>
      <c r="B90" s="12" t="str">
        <f>CONCATENATE("          ","6277"," - ","EMPLOYEE APPRECIATION")</f>
        <v xml:space="preserve">          6277 - EMPLOYEE APPRECIATION</v>
      </c>
      <c r="C90" s="12"/>
      <c r="D90" s="8">
        <v>21.5</v>
      </c>
      <c r="E90" s="3"/>
      <c r="F90" s="7">
        <f t="shared" si="20"/>
        <v>2.5068553749660991E-5</v>
      </c>
      <c r="G90" s="3"/>
      <c r="H90" s="8">
        <v>225</v>
      </c>
      <c r="I90" s="3"/>
      <c r="J90" s="7">
        <f t="shared" si="21"/>
        <v>5.9145310828323506E-4</v>
      </c>
      <c r="K90" s="3"/>
      <c r="L90" s="8">
        <f t="shared" si="22"/>
        <v>-203.5</v>
      </c>
      <c r="M90" s="3"/>
      <c r="N90" s="7">
        <f t="shared" si="23"/>
        <v>-0.9044444444444445</v>
      </c>
      <c r="O90" s="12"/>
      <c r="P90" s="8">
        <v>4341.38</v>
      </c>
      <c r="Q90" s="3"/>
      <c r="R90" s="7">
        <f t="shared" si="24"/>
        <v>5.7736399594730998E-4</v>
      </c>
      <c r="S90" s="3"/>
      <c r="T90" s="8">
        <v>2475</v>
      </c>
      <c r="U90" s="3"/>
      <c r="V90" s="7">
        <f t="shared" si="25"/>
        <v>2.8812767303900306E-4</v>
      </c>
      <c r="W90" s="3"/>
      <c r="X90" s="8">
        <f t="shared" si="26"/>
        <v>1866.38</v>
      </c>
      <c r="Y90" s="3"/>
      <c r="Z90" s="7">
        <f t="shared" si="27"/>
        <v>0.75409292929292937</v>
      </c>
    </row>
    <row r="91" spans="1:26" s="69" customFormat="1" ht="15" customHeight="1" outlineLevel="1" collapsed="1" x14ac:dyDescent="0.25">
      <c r="A91" s="26"/>
      <c r="B91" s="14" t="str">
        <f>CONCATENATE("     ","Equipment Rental                                  ")</f>
        <v xml:space="preserve">     Equipment Rental                                  </v>
      </c>
      <c r="C91" s="14"/>
      <c r="D91" s="2">
        <f>SUM(OSRRefD22_9x_0)</f>
        <v>1712.05</v>
      </c>
      <c r="E91" s="2"/>
      <c r="F91" s="6">
        <f t="shared" si="20"/>
        <v>1.9962147649817256E-3</v>
      </c>
      <c r="G91" s="2"/>
      <c r="H91" s="2">
        <f>SUM(OSRRefH22_9x_0)</f>
        <v>1700</v>
      </c>
      <c r="I91" s="2"/>
      <c r="J91" s="6">
        <f t="shared" si="21"/>
        <v>4.4687568181399984E-3</v>
      </c>
      <c r="K91" s="2"/>
      <c r="L91" s="2">
        <f t="shared" si="22"/>
        <v>12.049999999999955</v>
      </c>
      <c r="M91" s="2"/>
      <c r="N91" s="6">
        <f t="shared" si="23"/>
        <v>7.08823529411762E-3</v>
      </c>
      <c r="O91" s="14"/>
      <c r="P91" s="2">
        <f>SUM(OSRRefP22_9x_0)</f>
        <v>17510.36</v>
      </c>
      <c r="Q91" s="2"/>
      <c r="R91" s="6">
        <f t="shared" si="24"/>
        <v>2.3287183844943175E-3</v>
      </c>
      <c r="S91" s="2"/>
      <c r="T91" s="2">
        <f>SUM(OSRRefT22_9x_0)</f>
        <v>18500</v>
      </c>
      <c r="U91" s="2"/>
      <c r="V91" s="6">
        <f t="shared" si="25"/>
        <v>2.153681596453154E-3</v>
      </c>
      <c r="W91" s="2"/>
      <c r="X91" s="2">
        <f t="shared" si="26"/>
        <v>-989.63999999999942</v>
      </c>
      <c r="Y91" s="2"/>
      <c r="Z91" s="6">
        <f t="shared" si="27"/>
        <v>-5.3494054054054024E-2</v>
      </c>
    </row>
    <row r="92" spans="1:26" s="70" customFormat="1" ht="15" hidden="1" customHeight="1" outlineLevel="2" x14ac:dyDescent="0.25">
      <c r="A92" s="25"/>
      <c r="B92" s="12" t="str">
        <f>CONCATENATE("          ","6351"," - ","EQUIPMENT RENTAL")</f>
        <v xml:space="preserve">          6351 - EQUIPMENT RENTAL</v>
      </c>
      <c r="C92" s="12"/>
      <c r="D92" s="8">
        <v>1712.05</v>
      </c>
      <c r="E92" s="3"/>
      <c r="F92" s="7">
        <f t="shared" si="20"/>
        <v>1.9962147649817256E-3</v>
      </c>
      <c r="G92" s="3"/>
      <c r="H92" s="8">
        <v>1700</v>
      </c>
      <c r="I92" s="3"/>
      <c r="J92" s="7">
        <f t="shared" si="21"/>
        <v>4.4687568181399984E-3</v>
      </c>
      <c r="K92" s="3"/>
      <c r="L92" s="8">
        <f t="shared" si="22"/>
        <v>12.049999999999955</v>
      </c>
      <c r="M92" s="3"/>
      <c r="N92" s="7">
        <f t="shared" si="23"/>
        <v>7.08823529411762E-3</v>
      </c>
      <c r="O92" s="12"/>
      <c r="P92" s="8">
        <v>17510.36</v>
      </c>
      <c r="Q92" s="3"/>
      <c r="R92" s="7">
        <f t="shared" si="24"/>
        <v>2.3287183844943175E-3</v>
      </c>
      <c r="S92" s="3"/>
      <c r="T92" s="8">
        <v>18500</v>
      </c>
      <c r="U92" s="3"/>
      <c r="V92" s="7">
        <f t="shared" si="25"/>
        <v>2.153681596453154E-3</v>
      </c>
      <c r="W92" s="3"/>
      <c r="X92" s="8">
        <f t="shared" si="26"/>
        <v>-989.63999999999942</v>
      </c>
      <c r="Y92" s="3"/>
      <c r="Z92" s="7">
        <f t="shared" si="27"/>
        <v>-5.3494054054054024E-2</v>
      </c>
    </row>
    <row r="93" spans="1:26" s="69" customFormat="1" ht="15" customHeight="1" outlineLevel="1" collapsed="1" x14ac:dyDescent="0.25">
      <c r="A93" s="26"/>
      <c r="B93" s="14" t="str">
        <f>CONCATENATE("     ","Freight out/Postage                               ")</f>
        <v xml:space="preserve">     Freight out/Postage                               </v>
      </c>
      <c r="C93" s="14"/>
      <c r="D93" s="2">
        <f>SUM(OSRRefD22_10x_0)</f>
        <v>-1240.0600000000004</v>
      </c>
      <c r="E93" s="2"/>
      <c r="F93" s="6">
        <f t="shared" si="20"/>
        <v>-1.4458842215257963E-3</v>
      </c>
      <c r="G93" s="2"/>
      <c r="H93" s="2">
        <f>SUM(OSRRefH22_10x_0)</f>
        <v>-1850</v>
      </c>
      <c r="I93" s="2"/>
      <c r="J93" s="6">
        <f t="shared" si="21"/>
        <v>-4.8630588903288219E-3</v>
      </c>
      <c r="K93" s="2"/>
      <c r="L93" s="2">
        <f t="shared" si="22"/>
        <v>609.9399999999996</v>
      </c>
      <c r="M93" s="2"/>
      <c r="N93" s="6">
        <f t="shared" si="23"/>
        <v>-0.32969729729729708</v>
      </c>
      <c r="O93" s="14"/>
      <c r="P93" s="2">
        <f>SUM(OSRRefP22_10x_0)</f>
        <v>-45218.649999999994</v>
      </c>
      <c r="Q93" s="2"/>
      <c r="R93" s="6">
        <f t="shared" si="24"/>
        <v>-6.0136685697503613E-3</v>
      </c>
      <c r="S93" s="2"/>
      <c r="T93" s="2">
        <f>SUM(OSRRefT22_10x_0)</f>
        <v>-14050</v>
      </c>
      <c r="U93" s="2"/>
      <c r="V93" s="6">
        <f t="shared" si="25"/>
        <v>-1.6356338610900981E-3</v>
      </c>
      <c r="W93" s="2"/>
      <c r="X93" s="2">
        <f t="shared" si="26"/>
        <v>-31168.649999999994</v>
      </c>
      <c r="Y93" s="2"/>
      <c r="Z93" s="6">
        <f t="shared" si="27"/>
        <v>2.2184092526690389</v>
      </c>
    </row>
    <row r="94" spans="1:26" s="70" customFormat="1" ht="15" hidden="1" customHeight="1" outlineLevel="2" x14ac:dyDescent="0.25">
      <c r="A94" s="25"/>
      <c r="B94" s="12" t="str">
        <f>CONCATENATE("          ","6305"," - ","FREIGHT OUT")</f>
        <v xml:space="preserve">          6305 - FREIGHT OUT</v>
      </c>
      <c r="C94" s="12"/>
      <c r="D94" s="8">
        <v>8082.94</v>
      </c>
      <c r="E94" s="3"/>
      <c r="F94" s="7">
        <f t="shared" si="20"/>
        <v>9.4245402718737131E-3</v>
      </c>
      <c r="G94" s="3"/>
      <c r="H94" s="8">
        <v>2550</v>
      </c>
      <c r="I94" s="3"/>
      <c r="J94" s="7">
        <f t="shared" si="21"/>
        <v>6.7031352272099972E-3</v>
      </c>
      <c r="K94" s="3"/>
      <c r="L94" s="8">
        <f t="shared" si="22"/>
        <v>5532.94</v>
      </c>
      <c r="M94" s="3"/>
      <c r="N94" s="7">
        <f t="shared" si="23"/>
        <v>2.1697803921568628</v>
      </c>
      <c r="O94" s="12"/>
      <c r="P94" s="8">
        <v>134420.12</v>
      </c>
      <c r="Q94" s="3"/>
      <c r="R94" s="7">
        <f t="shared" si="24"/>
        <v>1.7876651575977436E-2</v>
      </c>
      <c r="S94" s="3"/>
      <c r="T94" s="8">
        <v>154850</v>
      </c>
      <c r="U94" s="3"/>
      <c r="V94" s="7">
        <f t="shared" si="25"/>
        <v>1.8026897038420048E-2</v>
      </c>
      <c r="W94" s="3"/>
      <c r="X94" s="8">
        <f t="shared" si="26"/>
        <v>-20429.880000000005</v>
      </c>
      <c r="Y94" s="3"/>
      <c r="Z94" s="7">
        <f t="shared" si="27"/>
        <v>-0.13193335485954152</v>
      </c>
    </row>
    <row r="95" spans="1:26" s="70" customFormat="1" ht="15" hidden="1" customHeight="1" outlineLevel="2" x14ac:dyDescent="0.25">
      <c r="A95" s="25"/>
      <c r="B95" s="12" t="str">
        <f>CONCATENATE("          ","6307"," - ","POSTAGE")</f>
        <v xml:space="preserve">          6307 - POSTAGE</v>
      </c>
      <c r="C95" s="12"/>
      <c r="D95" s="8">
        <v>-9323</v>
      </c>
      <c r="E95" s="3"/>
      <c r="F95" s="7">
        <f t="shared" si="20"/>
        <v>-1.0870424493399509E-2</v>
      </c>
      <c r="G95" s="3"/>
      <c r="H95" s="8">
        <v>-4400</v>
      </c>
      <c r="I95" s="3"/>
      <c r="J95" s="7">
        <f t="shared" si="21"/>
        <v>-1.1566194117538819E-2</v>
      </c>
      <c r="K95" s="3"/>
      <c r="L95" s="8">
        <f t="shared" si="22"/>
        <v>-4923</v>
      </c>
      <c r="M95" s="3"/>
      <c r="N95" s="7">
        <f t="shared" si="23"/>
        <v>1.1188636363636364</v>
      </c>
      <c r="O95" s="12"/>
      <c r="P95" s="8">
        <v>-179638.77</v>
      </c>
      <c r="Q95" s="3"/>
      <c r="R95" s="7">
        <f t="shared" si="24"/>
        <v>-2.3890320145727797E-2</v>
      </c>
      <c r="S95" s="3"/>
      <c r="T95" s="8">
        <v>-168900</v>
      </c>
      <c r="U95" s="3"/>
      <c r="V95" s="7">
        <f t="shared" si="25"/>
        <v>-1.9662530899510148E-2</v>
      </c>
      <c r="W95" s="3"/>
      <c r="X95" s="8">
        <f t="shared" si="26"/>
        <v>-10738.76999999999</v>
      </c>
      <c r="Y95" s="3"/>
      <c r="Z95" s="7">
        <f t="shared" si="27"/>
        <v>6.3580639431616279E-2</v>
      </c>
    </row>
    <row r="96" spans="1:26" s="69" customFormat="1" ht="15" customHeight="1" outlineLevel="1" collapsed="1" x14ac:dyDescent="0.25">
      <c r="A96" s="26"/>
      <c r="B96" s="14" t="str">
        <f>CONCATENATE("     ","General                                           ")</f>
        <v xml:space="preserve">     General                                           </v>
      </c>
      <c r="C96" s="14"/>
      <c r="D96" s="2">
        <f>SUM(OSRRefD22_11x_0)</f>
        <v>45.45</v>
      </c>
      <c r="E96" s="2"/>
      <c r="F96" s="6">
        <f t="shared" si="20"/>
        <v>5.2993756647539172E-5</v>
      </c>
      <c r="G96" s="2"/>
      <c r="H96" s="2">
        <f>SUM(OSRRefH22_11x_0)</f>
        <v>950</v>
      </c>
      <c r="I96" s="2"/>
      <c r="J96" s="6">
        <f t="shared" si="21"/>
        <v>2.4972464571958813E-3</v>
      </c>
      <c r="K96" s="2"/>
      <c r="L96" s="2">
        <f t="shared" si="22"/>
        <v>-904.55</v>
      </c>
      <c r="M96" s="2"/>
      <c r="N96" s="6">
        <f t="shared" si="23"/>
        <v>-0.95215789473684209</v>
      </c>
      <c r="O96" s="14"/>
      <c r="P96" s="2">
        <f>SUM(OSRRefP22_11x_0)</f>
        <v>6485.51</v>
      </c>
      <c r="Q96" s="2"/>
      <c r="R96" s="6">
        <f t="shared" si="24"/>
        <v>8.625137558463526E-4</v>
      </c>
      <c r="S96" s="2"/>
      <c r="T96" s="2">
        <f>SUM(OSRRefT22_11x_0)</f>
        <v>6200</v>
      </c>
      <c r="U96" s="2"/>
      <c r="V96" s="6">
        <f t="shared" si="25"/>
        <v>7.2177437286538137E-4</v>
      </c>
      <c r="W96" s="2"/>
      <c r="X96" s="2">
        <f t="shared" si="26"/>
        <v>285.51000000000022</v>
      </c>
      <c r="Y96" s="2"/>
      <c r="Z96" s="6">
        <f t="shared" si="27"/>
        <v>4.6050000000000035E-2</v>
      </c>
    </row>
    <row r="97" spans="1:26" s="70" customFormat="1" ht="15" hidden="1" customHeight="1" outlineLevel="2" x14ac:dyDescent="0.25">
      <c r="A97" s="25"/>
      <c r="B97" s="12" t="str">
        <f>CONCATENATE("          ","6276"," - ","PROPERTY TAX")</f>
        <v xml:space="preserve">          6276 - PROPERTY TAX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/>
      <c r="Q97" s="3"/>
      <c r="R97" s="7">
        <f t="shared" si="24"/>
        <v>0</v>
      </c>
      <c r="S97" s="3"/>
      <c r="T97" s="8">
        <v>1250</v>
      </c>
      <c r="U97" s="3"/>
      <c r="V97" s="7">
        <f t="shared" si="25"/>
        <v>1.4551902678737528E-4</v>
      </c>
      <c r="W97" s="3"/>
      <c r="X97" s="8">
        <f t="shared" si="26"/>
        <v>-1250</v>
      </c>
      <c r="Y97" s="3"/>
      <c r="Z97" s="7">
        <f t="shared" si="27"/>
        <v>-1</v>
      </c>
    </row>
    <row r="98" spans="1:26" s="70" customFormat="1" ht="15" hidden="1" customHeight="1" outlineLevel="2" x14ac:dyDescent="0.25">
      <c r="A98" s="25"/>
      <c r="B98" s="12" t="str">
        <f>CONCATENATE("          ","6279"," - ","GENERAL EXPENSE")</f>
        <v xml:space="preserve">          6279 - GENERAL EXPENSE</v>
      </c>
      <c r="C98" s="12"/>
      <c r="D98" s="8">
        <v>45.45</v>
      </c>
      <c r="E98" s="3"/>
      <c r="F98" s="7">
        <f t="shared" si="20"/>
        <v>5.2993756647539172E-5</v>
      </c>
      <c r="G98" s="3"/>
      <c r="H98" s="8">
        <v>950</v>
      </c>
      <c r="I98" s="3"/>
      <c r="J98" s="7">
        <f t="shared" si="21"/>
        <v>2.4972464571958813E-3</v>
      </c>
      <c r="K98" s="3"/>
      <c r="L98" s="8">
        <f t="shared" si="22"/>
        <v>-904.55</v>
      </c>
      <c r="M98" s="3"/>
      <c r="N98" s="7">
        <f t="shared" si="23"/>
        <v>-0.95215789473684209</v>
      </c>
      <c r="O98" s="12"/>
      <c r="P98" s="8">
        <v>6485.51</v>
      </c>
      <c r="Q98" s="3"/>
      <c r="R98" s="7">
        <f t="shared" si="24"/>
        <v>8.625137558463526E-4</v>
      </c>
      <c r="S98" s="3"/>
      <c r="T98" s="8">
        <v>4950</v>
      </c>
      <c r="U98" s="3"/>
      <c r="V98" s="7">
        <f t="shared" si="25"/>
        <v>5.7625534607800611E-4</v>
      </c>
      <c r="W98" s="3"/>
      <c r="X98" s="8">
        <f t="shared" si="26"/>
        <v>1535.5100000000002</v>
      </c>
      <c r="Y98" s="3"/>
      <c r="Z98" s="7">
        <f t="shared" si="27"/>
        <v>0.31020404040404043</v>
      </c>
    </row>
    <row r="99" spans="1:26" s="69" customFormat="1" ht="15" customHeight="1" outlineLevel="1" collapsed="1" x14ac:dyDescent="0.25">
      <c r="A99" s="26"/>
      <c r="B99" s="14" t="str">
        <f>CONCATENATE("     ","Insurance                                         ")</f>
        <v xml:space="preserve">     Insurance                                         </v>
      </c>
      <c r="C99" s="14"/>
      <c r="D99" s="2">
        <f>SUM(OSRRefD22_12x_0)</f>
        <v>5494.57</v>
      </c>
      <c r="E99" s="2"/>
      <c r="F99" s="6">
        <f t="shared" si="20"/>
        <v>6.406554575640688E-3</v>
      </c>
      <c r="G99" s="2"/>
      <c r="H99" s="2">
        <f>SUM(OSRRefH22_12x_0)</f>
        <v>5375</v>
      </c>
      <c r="I99" s="2"/>
      <c r="J99" s="6">
        <f t="shared" si="21"/>
        <v>1.412915758676617E-2</v>
      </c>
      <c r="K99" s="2"/>
      <c r="L99" s="2">
        <f t="shared" si="22"/>
        <v>119.56999999999971</v>
      </c>
      <c r="M99" s="2"/>
      <c r="N99" s="6">
        <f t="shared" si="23"/>
        <v>2.2245581395348782E-2</v>
      </c>
      <c r="O99" s="14"/>
      <c r="P99" s="2">
        <f>SUM(OSRRefP22_12x_0)</f>
        <v>60440.27</v>
      </c>
      <c r="Q99" s="2"/>
      <c r="R99" s="6">
        <f t="shared" si="24"/>
        <v>8.0380053815455738E-3</v>
      </c>
      <c r="S99" s="2"/>
      <c r="T99" s="2">
        <f>SUM(OSRRefT22_12x_0)</f>
        <v>59125</v>
      </c>
      <c r="U99" s="2"/>
      <c r="V99" s="6">
        <f t="shared" si="25"/>
        <v>6.8830499670428508E-3</v>
      </c>
      <c r="W99" s="2"/>
      <c r="X99" s="2">
        <f t="shared" si="26"/>
        <v>1315.2699999999968</v>
      </c>
      <c r="Y99" s="2"/>
      <c r="Z99" s="6">
        <f t="shared" si="27"/>
        <v>2.2245581395348782E-2</v>
      </c>
    </row>
    <row r="100" spans="1:26" s="70" customFormat="1" ht="15" hidden="1" customHeight="1" outlineLevel="2" x14ac:dyDescent="0.25">
      <c r="A100" s="25"/>
      <c r="B100" s="12" t="str">
        <f>CONCATENATE("          ","6314"," - ","LIABILITY INSURANCE")</f>
        <v xml:space="preserve">          6314 - LIABILITY INSURANCE</v>
      </c>
      <c r="C100" s="12"/>
      <c r="D100" s="8">
        <v>5494.57</v>
      </c>
      <c r="E100" s="3"/>
      <c r="F100" s="7">
        <f t="shared" si="20"/>
        <v>6.406554575640688E-3</v>
      </c>
      <c r="G100" s="3"/>
      <c r="H100" s="8">
        <v>5375</v>
      </c>
      <c r="I100" s="3"/>
      <c r="J100" s="7">
        <f t="shared" si="21"/>
        <v>1.412915758676617E-2</v>
      </c>
      <c r="K100" s="3"/>
      <c r="L100" s="8">
        <f t="shared" si="22"/>
        <v>119.56999999999971</v>
      </c>
      <c r="M100" s="3"/>
      <c r="N100" s="7">
        <f t="shared" si="23"/>
        <v>2.2245581395348782E-2</v>
      </c>
      <c r="O100" s="12"/>
      <c r="P100" s="8">
        <v>60440.27</v>
      </c>
      <c r="Q100" s="3"/>
      <c r="R100" s="7">
        <f t="shared" si="24"/>
        <v>8.0380053815455738E-3</v>
      </c>
      <c r="S100" s="3"/>
      <c r="T100" s="8">
        <v>59125</v>
      </c>
      <c r="U100" s="3"/>
      <c r="V100" s="7">
        <f t="shared" si="25"/>
        <v>6.8830499670428508E-3</v>
      </c>
      <c r="W100" s="3"/>
      <c r="X100" s="8">
        <f t="shared" si="26"/>
        <v>1315.2699999999968</v>
      </c>
      <c r="Y100" s="3"/>
      <c r="Z100" s="7">
        <f t="shared" si="27"/>
        <v>2.2245581395348782E-2</v>
      </c>
    </row>
    <row r="101" spans="1:26" s="69" customFormat="1" ht="15" customHeight="1" outlineLevel="1" collapsed="1" x14ac:dyDescent="0.25">
      <c r="A101" s="26"/>
      <c r="B101" s="14" t="str">
        <f>CONCATENATE("     ","Inventory Adjustment                              ")</f>
        <v xml:space="preserve">     Inventory Adjustment                              </v>
      </c>
      <c r="C101" s="14"/>
      <c r="D101" s="2">
        <f>SUM(OSRRefD22_13x_0)</f>
        <v>5100</v>
      </c>
      <c r="E101" s="2"/>
      <c r="F101" s="6">
        <f t="shared" si="20"/>
        <v>5.9464941452684215E-3</v>
      </c>
      <c r="G101" s="2"/>
      <c r="H101" s="2">
        <f>SUM(OSRRefH22_13x_0)</f>
        <v>5100</v>
      </c>
      <c r="I101" s="2"/>
      <c r="J101" s="6">
        <f t="shared" si="21"/>
        <v>1.3406270454419994E-2</v>
      </c>
      <c r="K101" s="2"/>
      <c r="L101" s="2">
        <f t="shared" si="22"/>
        <v>0</v>
      </c>
      <c r="M101" s="2"/>
      <c r="N101" s="6">
        <f t="shared" si="23"/>
        <v>0</v>
      </c>
      <c r="O101" s="14"/>
      <c r="P101" s="2">
        <f>SUM(OSRRefP22_13x_0)</f>
        <v>60100</v>
      </c>
      <c r="Q101" s="2"/>
      <c r="R101" s="6">
        <f t="shared" si="24"/>
        <v>7.9927525709413434E-3</v>
      </c>
      <c r="S101" s="2"/>
      <c r="T101" s="2">
        <f>SUM(OSRRefT22_13x_0)</f>
        <v>60100</v>
      </c>
      <c r="U101" s="2"/>
      <c r="V101" s="6">
        <f t="shared" si="25"/>
        <v>6.9965548079370032E-3</v>
      </c>
      <c r="W101" s="2"/>
      <c r="X101" s="2">
        <f t="shared" si="26"/>
        <v>0</v>
      </c>
      <c r="Y101" s="2"/>
      <c r="Z101" s="6">
        <f t="shared" si="27"/>
        <v>0</v>
      </c>
    </row>
    <row r="102" spans="1:26" s="70" customFormat="1" ht="15" hidden="1" customHeight="1" outlineLevel="2" x14ac:dyDescent="0.25">
      <c r="A102" s="25"/>
      <c r="B102" s="12" t="str">
        <f>CONCATENATE("          ","6408"," - ","INVENTORY ADJUSTMENT")</f>
        <v xml:space="preserve">          6408 - INVENTORY ADJUSTMENT</v>
      </c>
      <c r="C102" s="12"/>
      <c r="D102" s="8">
        <v>5100</v>
      </c>
      <c r="E102" s="3"/>
      <c r="F102" s="7">
        <f t="shared" si="20"/>
        <v>5.9464941452684215E-3</v>
      </c>
      <c r="G102" s="3"/>
      <c r="H102" s="8">
        <v>5100</v>
      </c>
      <c r="I102" s="3"/>
      <c r="J102" s="7">
        <f t="shared" si="21"/>
        <v>1.3406270454419994E-2</v>
      </c>
      <c r="K102" s="3"/>
      <c r="L102" s="8">
        <f t="shared" si="22"/>
        <v>0</v>
      </c>
      <c r="M102" s="3"/>
      <c r="N102" s="7">
        <f t="shared" si="23"/>
        <v>0</v>
      </c>
      <c r="O102" s="12"/>
      <c r="P102" s="8">
        <v>60100</v>
      </c>
      <c r="Q102" s="3"/>
      <c r="R102" s="7">
        <f t="shared" si="24"/>
        <v>7.9927525709413434E-3</v>
      </c>
      <c r="S102" s="3"/>
      <c r="T102" s="8">
        <v>60100</v>
      </c>
      <c r="U102" s="3"/>
      <c r="V102" s="7">
        <f t="shared" si="25"/>
        <v>6.9965548079370032E-3</v>
      </c>
      <c r="W102" s="3"/>
      <c r="X102" s="8">
        <f t="shared" si="26"/>
        <v>0</v>
      </c>
      <c r="Y102" s="3"/>
      <c r="Z102" s="7">
        <f t="shared" si="27"/>
        <v>0</v>
      </c>
    </row>
    <row r="103" spans="1:26" s="69" customFormat="1" ht="15" customHeight="1" outlineLevel="1" collapsed="1" x14ac:dyDescent="0.25">
      <c r="A103" s="26"/>
      <c r="B103" s="14" t="str">
        <f>CONCATENATE("     ","Professional Services                             ")</f>
        <v xml:space="preserve">     Professional Services                             </v>
      </c>
      <c r="C103" s="14"/>
      <c r="D103" s="2">
        <f>SUM(OSRRefD22_14x_0)</f>
        <v>0</v>
      </c>
      <c r="E103" s="2"/>
      <c r="F103" s="6">
        <f t="shared" si="20"/>
        <v>0</v>
      </c>
      <c r="G103" s="2"/>
      <c r="H103" s="2">
        <f>SUM(OSRRefH22_14x_0)</f>
        <v>0</v>
      </c>
      <c r="I103" s="2"/>
      <c r="J103" s="6">
        <f t="shared" si="21"/>
        <v>0</v>
      </c>
      <c r="K103" s="2"/>
      <c r="L103" s="2">
        <f t="shared" si="22"/>
        <v>0</v>
      </c>
      <c r="M103" s="2"/>
      <c r="N103" s="6">
        <f t="shared" si="23"/>
        <v>0</v>
      </c>
      <c r="O103" s="14"/>
      <c r="P103" s="2">
        <f>SUM(OSRRefP22_14x_0)</f>
        <v>9626.5300000000007</v>
      </c>
      <c r="Q103" s="2"/>
      <c r="R103" s="6">
        <f t="shared" si="24"/>
        <v>1.2802408054366718E-3</v>
      </c>
      <c r="S103" s="2"/>
      <c r="T103" s="2">
        <f>SUM(OSRRefT22_14x_0)</f>
        <v>1750</v>
      </c>
      <c r="U103" s="2"/>
      <c r="V103" s="6">
        <f t="shared" si="25"/>
        <v>2.0372663750232539E-4</v>
      </c>
      <c r="W103" s="2"/>
      <c r="X103" s="2">
        <f t="shared" si="26"/>
        <v>7876.5300000000007</v>
      </c>
      <c r="Y103" s="2"/>
      <c r="Z103" s="6">
        <f t="shared" si="27"/>
        <v>4.5008742857142865</v>
      </c>
    </row>
    <row r="104" spans="1:26" s="70" customFormat="1" ht="15" hidden="1" customHeight="1" outlineLevel="2" x14ac:dyDescent="0.25">
      <c r="A104" s="25"/>
      <c r="B104" s="12" t="str">
        <f>CONCATENATE("          ","6336"," - ","PROFESSIONAL SERVICES")</f>
        <v xml:space="preserve">          6336 - PROFESSIONAL SERVICES</v>
      </c>
      <c r="C104" s="12"/>
      <c r="D104" s="8"/>
      <c r="E104" s="3"/>
      <c r="F104" s="7">
        <f t="shared" si="20"/>
        <v>0</v>
      </c>
      <c r="G104" s="3"/>
      <c r="H104" s="8">
        <v>0</v>
      </c>
      <c r="I104" s="3"/>
      <c r="J104" s="7">
        <f t="shared" si="21"/>
        <v>0</v>
      </c>
      <c r="K104" s="3"/>
      <c r="L104" s="8">
        <f t="shared" si="22"/>
        <v>0</v>
      </c>
      <c r="M104" s="3"/>
      <c r="N104" s="7">
        <f t="shared" si="23"/>
        <v>0</v>
      </c>
      <c r="O104" s="12"/>
      <c r="P104" s="8">
        <v>9626.5300000000007</v>
      </c>
      <c r="Q104" s="3"/>
      <c r="R104" s="7">
        <f t="shared" si="24"/>
        <v>1.2802408054366718E-3</v>
      </c>
      <c r="S104" s="3"/>
      <c r="T104" s="8">
        <v>1750</v>
      </c>
      <c r="U104" s="3"/>
      <c r="V104" s="7">
        <f t="shared" si="25"/>
        <v>2.0372663750232539E-4</v>
      </c>
      <c r="W104" s="3"/>
      <c r="X104" s="8">
        <f t="shared" si="26"/>
        <v>7876.5300000000007</v>
      </c>
      <c r="Y104" s="3"/>
      <c r="Z104" s="7">
        <f t="shared" si="27"/>
        <v>4.5008742857142865</v>
      </c>
    </row>
    <row r="105" spans="1:26" s="69" customFormat="1" ht="15" customHeight="1" outlineLevel="1" collapsed="1" x14ac:dyDescent="0.25">
      <c r="A105" s="26"/>
      <c r="B105" s="14" t="str">
        <f>CONCATENATE("     ","Rent                                              ")</f>
        <v xml:space="preserve">     Rent                                              </v>
      </c>
      <c r="C105" s="14"/>
      <c r="D105" s="2">
        <f>SUM(OSRRefD22_15x_0)</f>
        <v>6100</v>
      </c>
      <c r="E105" s="2"/>
      <c r="F105" s="6">
        <f t="shared" si="20"/>
        <v>7.1124733894387003E-3</v>
      </c>
      <c r="G105" s="2"/>
      <c r="H105" s="2">
        <f>SUM(OSRRefH22_15x_0)</f>
        <v>6100</v>
      </c>
      <c r="I105" s="2"/>
      <c r="J105" s="6">
        <f t="shared" si="21"/>
        <v>1.6034950935678818E-2</v>
      </c>
      <c r="K105" s="2"/>
      <c r="L105" s="2">
        <f t="shared" si="22"/>
        <v>0</v>
      </c>
      <c r="M105" s="2"/>
      <c r="N105" s="6">
        <f t="shared" si="23"/>
        <v>0</v>
      </c>
      <c r="O105" s="14"/>
      <c r="P105" s="2">
        <f>SUM(OSRRefP22_15x_0)</f>
        <v>67100</v>
      </c>
      <c r="Q105" s="2"/>
      <c r="R105" s="6">
        <f t="shared" si="24"/>
        <v>8.9236888104852596E-3</v>
      </c>
      <c r="S105" s="2"/>
      <c r="T105" s="2">
        <f>SUM(OSRRefT22_15x_0)</f>
        <v>67100</v>
      </c>
      <c r="U105" s="2"/>
      <c r="V105" s="6">
        <f t="shared" si="25"/>
        <v>7.811461357946305E-3</v>
      </c>
      <c r="W105" s="2"/>
      <c r="X105" s="2">
        <f t="shared" si="26"/>
        <v>0</v>
      </c>
      <c r="Y105" s="2"/>
      <c r="Z105" s="6">
        <f t="shared" si="27"/>
        <v>0</v>
      </c>
    </row>
    <row r="106" spans="1:26" s="70" customFormat="1" ht="15" hidden="1" customHeight="1" outlineLevel="2" x14ac:dyDescent="0.25">
      <c r="A106" s="25"/>
      <c r="B106" s="12" t="str">
        <f>CONCATENATE("          ","6273"," - ","RENT")</f>
        <v xml:space="preserve">          6273 - RENT</v>
      </c>
      <c r="C106" s="12"/>
      <c r="D106" s="8">
        <v>6100</v>
      </c>
      <c r="E106" s="3"/>
      <c r="F106" s="7">
        <f t="shared" si="20"/>
        <v>7.1124733894387003E-3</v>
      </c>
      <c r="G106" s="3"/>
      <c r="H106" s="8">
        <v>6100</v>
      </c>
      <c r="I106" s="3"/>
      <c r="J106" s="7">
        <f t="shared" si="21"/>
        <v>1.6034950935678818E-2</v>
      </c>
      <c r="K106" s="3"/>
      <c r="L106" s="8">
        <f t="shared" si="22"/>
        <v>0</v>
      </c>
      <c r="M106" s="3"/>
      <c r="N106" s="7">
        <f t="shared" si="23"/>
        <v>0</v>
      </c>
      <c r="O106" s="12"/>
      <c r="P106" s="8">
        <v>67100</v>
      </c>
      <c r="Q106" s="3"/>
      <c r="R106" s="7">
        <f t="shared" si="24"/>
        <v>8.9236888104852596E-3</v>
      </c>
      <c r="S106" s="3"/>
      <c r="T106" s="8">
        <v>67100</v>
      </c>
      <c r="U106" s="3"/>
      <c r="V106" s="7">
        <f t="shared" si="25"/>
        <v>7.811461357946305E-3</v>
      </c>
      <c r="W106" s="3"/>
      <c r="X106" s="8">
        <f t="shared" si="26"/>
        <v>0</v>
      </c>
      <c r="Y106" s="3"/>
      <c r="Z106" s="7">
        <f t="shared" si="27"/>
        <v>0</v>
      </c>
    </row>
    <row r="107" spans="1:26" s="69" customFormat="1" ht="15" customHeight="1" outlineLevel="1" collapsed="1" x14ac:dyDescent="0.25">
      <c r="A107" s="26"/>
      <c r="B107" s="14" t="str">
        <f>CONCATENATE("     ","Repair and Maintenance                            ")</f>
        <v xml:space="preserve">     Repair and Maintenance                            </v>
      </c>
      <c r="C107" s="14"/>
      <c r="D107" s="2">
        <f>SUM(OSRRefD22_16x_0)</f>
        <v>5559.93</v>
      </c>
      <c r="E107" s="2"/>
      <c r="F107" s="6">
        <f t="shared" si="20"/>
        <v>6.4827629790396579E-3</v>
      </c>
      <c r="G107" s="2"/>
      <c r="H107" s="2">
        <f>SUM(OSRRefH22_16x_0)</f>
        <v>10645</v>
      </c>
      <c r="I107" s="2"/>
      <c r="J107" s="6">
        <f t="shared" si="21"/>
        <v>2.7982303723000167E-2</v>
      </c>
      <c r="K107" s="2"/>
      <c r="L107" s="2">
        <f t="shared" si="22"/>
        <v>-5085.07</v>
      </c>
      <c r="M107" s="2"/>
      <c r="N107" s="6">
        <f t="shared" si="23"/>
        <v>-0.4776956317519962</v>
      </c>
      <c r="O107" s="14"/>
      <c r="P107" s="2">
        <f>SUM(OSRRefP22_16x_0)</f>
        <v>142570.39000000001</v>
      </c>
      <c r="Q107" s="2"/>
      <c r="R107" s="6">
        <f t="shared" si="24"/>
        <v>1.8960563248129954E-2</v>
      </c>
      <c r="S107" s="2"/>
      <c r="T107" s="2">
        <f>SUM(OSRRefT22_16x_0)</f>
        <v>168915</v>
      </c>
      <c r="U107" s="2"/>
      <c r="V107" s="6">
        <f t="shared" si="25"/>
        <v>1.9664277127831597E-2</v>
      </c>
      <c r="W107" s="2"/>
      <c r="X107" s="2">
        <f t="shared" si="26"/>
        <v>-26344.609999999986</v>
      </c>
      <c r="Y107" s="2"/>
      <c r="Z107" s="6">
        <f t="shared" si="27"/>
        <v>-0.15596370955806166</v>
      </c>
    </row>
    <row r="108" spans="1:26" s="70" customFormat="1" ht="15" hidden="1" customHeight="1" outlineLevel="2" x14ac:dyDescent="0.25">
      <c r="A108" s="25"/>
      <c r="B108" s="12" t="str">
        <f>CONCATENATE("          ","6371"," - ","COMPUTER SOFTWARE MAINTENANCE")</f>
        <v xml:space="preserve">          6371 - COMPUTER SOFTWARE MAINTENANCE</v>
      </c>
      <c r="C108" s="12"/>
      <c r="D108" s="8"/>
      <c r="E108" s="3"/>
      <c r="F108" s="7">
        <f t="shared" si="20"/>
        <v>0</v>
      </c>
      <c r="G108" s="3"/>
      <c r="H108" s="8">
        <v>1000</v>
      </c>
      <c r="I108" s="3"/>
      <c r="J108" s="7">
        <f t="shared" si="21"/>
        <v>2.6286804812588227E-3</v>
      </c>
      <c r="K108" s="3"/>
      <c r="L108" s="8">
        <f t="shared" si="22"/>
        <v>-1000</v>
      </c>
      <c r="M108" s="3"/>
      <c r="N108" s="7">
        <f t="shared" si="23"/>
        <v>-1</v>
      </c>
      <c r="O108" s="12"/>
      <c r="P108" s="8">
        <v>62511</v>
      </c>
      <c r="Q108" s="3"/>
      <c r="R108" s="7">
        <f t="shared" si="24"/>
        <v>8.3133936100185414E-3</v>
      </c>
      <c r="S108" s="3"/>
      <c r="T108" s="8">
        <v>50100</v>
      </c>
      <c r="U108" s="3"/>
      <c r="V108" s="7">
        <f t="shared" si="25"/>
        <v>5.8324025936380012E-3</v>
      </c>
      <c r="W108" s="3"/>
      <c r="X108" s="8">
        <f t="shared" si="26"/>
        <v>12411</v>
      </c>
      <c r="Y108" s="3"/>
      <c r="Z108" s="7">
        <f t="shared" si="27"/>
        <v>0.24772455089820358</v>
      </c>
    </row>
    <row r="109" spans="1:26" s="70" customFormat="1" ht="15" hidden="1" customHeight="1" outlineLevel="2" x14ac:dyDescent="0.25">
      <c r="A109" s="25"/>
      <c r="B109" s="12" t="str">
        <f>CONCATENATE("          ","6372"," - ","COMPUTER HARDWARE MAINTENANCE")</f>
        <v xml:space="preserve">          6372 - COMPUTER HARDWARE MAINTENANCE</v>
      </c>
      <c r="C109" s="12"/>
      <c r="D109" s="8"/>
      <c r="E109" s="3"/>
      <c r="F109" s="7">
        <f t="shared" si="20"/>
        <v>0</v>
      </c>
      <c r="G109" s="3"/>
      <c r="H109" s="8">
        <v>3750</v>
      </c>
      <c r="I109" s="3"/>
      <c r="J109" s="7">
        <f t="shared" si="21"/>
        <v>9.8575518047205844E-3</v>
      </c>
      <c r="K109" s="3"/>
      <c r="L109" s="8">
        <f t="shared" si="22"/>
        <v>-3750</v>
      </c>
      <c r="M109" s="3"/>
      <c r="N109" s="7">
        <f t="shared" si="23"/>
        <v>-1</v>
      </c>
      <c r="O109" s="12"/>
      <c r="P109" s="8"/>
      <c r="Q109" s="3"/>
      <c r="R109" s="7">
        <f t="shared" si="24"/>
        <v>0</v>
      </c>
      <c r="S109" s="3"/>
      <c r="T109" s="8">
        <v>37870</v>
      </c>
      <c r="U109" s="3"/>
      <c r="V109" s="7">
        <f t="shared" si="25"/>
        <v>4.4086444355503213E-3</v>
      </c>
      <c r="W109" s="3"/>
      <c r="X109" s="8">
        <f t="shared" si="26"/>
        <v>-37870</v>
      </c>
      <c r="Y109" s="3"/>
      <c r="Z109" s="7">
        <f t="shared" si="27"/>
        <v>-1</v>
      </c>
    </row>
    <row r="110" spans="1:26" s="70" customFormat="1" ht="15" hidden="1" customHeight="1" outlineLevel="2" x14ac:dyDescent="0.25">
      <c r="A110" s="25"/>
      <c r="B110" s="12" t="str">
        <f>CONCATENATE("          ","6373"," - ","MAINTENANCE CONTRACTS")</f>
        <v xml:space="preserve">          6373 - MAINTENANCE CONTRACTS</v>
      </c>
      <c r="C110" s="12"/>
      <c r="D110" s="8">
        <v>1648.79</v>
      </c>
      <c r="E110" s="3"/>
      <c r="F110" s="7">
        <f t="shared" si="20"/>
        <v>1.9224549179955139E-3</v>
      </c>
      <c r="G110" s="3"/>
      <c r="H110" s="8">
        <v>5855</v>
      </c>
      <c r="I110" s="3"/>
      <c r="J110" s="7">
        <f t="shared" si="21"/>
        <v>1.5390924217770406E-2</v>
      </c>
      <c r="K110" s="3"/>
      <c r="L110" s="8">
        <f t="shared" si="22"/>
        <v>-4206.21</v>
      </c>
      <c r="M110" s="3"/>
      <c r="N110" s="7">
        <f t="shared" si="23"/>
        <v>-0.71839624252775403</v>
      </c>
      <c r="O110" s="12"/>
      <c r="P110" s="8">
        <v>24020.49</v>
      </c>
      <c r="Q110" s="3"/>
      <c r="R110" s="7">
        <f t="shared" si="24"/>
        <v>3.1945063760860375E-3</v>
      </c>
      <c r="S110" s="3"/>
      <c r="T110" s="8">
        <v>80005</v>
      </c>
      <c r="U110" s="3"/>
      <c r="V110" s="7">
        <f t="shared" si="25"/>
        <v>9.3137997904991672E-3</v>
      </c>
      <c r="W110" s="3"/>
      <c r="X110" s="8">
        <f t="shared" si="26"/>
        <v>-55984.509999999995</v>
      </c>
      <c r="Y110" s="3"/>
      <c r="Z110" s="7">
        <f t="shared" si="27"/>
        <v>-0.69976263983501019</v>
      </c>
    </row>
    <row r="111" spans="1:26" s="70" customFormat="1" ht="15" hidden="1" customHeight="1" outlineLevel="2" x14ac:dyDescent="0.25">
      <c r="A111" s="25"/>
      <c r="B111" s="12" t="str">
        <f>CONCATENATE("          ","6375"," - ","OUTSIDE REPAIRS &amp; MAINTENANCE")</f>
        <v xml:space="preserve">          6375 - OUTSIDE REPAIRS &amp; MAINTENANCE</v>
      </c>
      <c r="C111" s="12"/>
      <c r="D111" s="8">
        <v>3911.14</v>
      </c>
      <c r="E111" s="3"/>
      <c r="F111" s="7">
        <f t="shared" si="20"/>
        <v>4.5603080610441436E-3</v>
      </c>
      <c r="G111" s="3"/>
      <c r="H111" s="8">
        <v>40</v>
      </c>
      <c r="I111" s="3"/>
      <c r="J111" s="7">
        <f t="shared" si="21"/>
        <v>1.051472192503529E-4</v>
      </c>
      <c r="K111" s="3"/>
      <c r="L111" s="8">
        <f t="shared" si="22"/>
        <v>3871.14</v>
      </c>
      <c r="M111" s="3"/>
      <c r="N111" s="7">
        <f t="shared" si="23"/>
        <v>96.778499999999994</v>
      </c>
      <c r="O111" s="12"/>
      <c r="P111" s="8">
        <v>56038.9</v>
      </c>
      <c r="Q111" s="3"/>
      <c r="R111" s="7">
        <f t="shared" si="24"/>
        <v>7.4526632620253719E-3</v>
      </c>
      <c r="S111" s="3"/>
      <c r="T111" s="8">
        <v>940</v>
      </c>
      <c r="U111" s="3"/>
      <c r="V111" s="7">
        <f t="shared" si="25"/>
        <v>1.0943030814410621E-4</v>
      </c>
      <c r="W111" s="3"/>
      <c r="X111" s="8">
        <f t="shared" si="26"/>
        <v>55098.9</v>
      </c>
      <c r="Y111" s="3"/>
      <c r="Z111" s="7">
        <f t="shared" si="27"/>
        <v>58.615851063829787</v>
      </c>
    </row>
    <row r="112" spans="1:26" s="69" customFormat="1" ht="15" customHeight="1" outlineLevel="1" collapsed="1" x14ac:dyDescent="0.25">
      <c r="A112" s="26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2">
        <f>SUM(OSRRefD22_17x_0)</f>
        <v>3844.9400000000005</v>
      </c>
      <c r="E112" s="2"/>
      <c r="F112" s="6">
        <f t="shared" si="20"/>
        <v>4.4831202350800719E-3</v>
      </c>
      <c r="G112" s="2"/>
      <c r="H112" s="2">
        <f>SUM(OSRRefH22_17x_0)</f>
        <v>9656</v>
      </c>
      <c r="I112" s="2"/>
      <c r="J112" s="6">
        <f t="shared" si="21"/>
        <v>2.5382538727035189E-2</v>
      </c>
      <c r="K112" s="2"/>
      <c r="L112" s="2">
        <f t="shared" si="22"/>
        <v>-5811.0599999999995</v>
      </c>
      <c r="M112" s="2"/>
      <c r="N112" s="6">
        <f t="shared" si="23"/>
        <v>-0.60180820215410102</v>
      </c>
      <c r="O112" s="14"/>
      <c r="P112" s="2">
        <f>SUM(OSRRefP22_17x_0)</f>
        <v>85467.47</v>
      </c>
      <c r="Q112" s="2"/>
      <c r="R112" s="6">
        <f t="shared" si="24"/>
        <v>1.1366395017876075E-2</v>
      </c>
      <c r="S112" s="2"/>
      <c r="T112" s="2">
        <f>SUM(OSRRefT22_17x_0)</f>
        <v>99188</v>
      </c>
      <c r="U112" s="2"/>
      <c r="V112" s="6">
        <f t="shared" si="25"/>
        <v>1.1546992983188944E-2</v>
      </c>
      <c r="W112" s="2"/>
      <c r="X112" s="2">
        <f t="shared" si="26"/>
        <v>-13720.529999999999</v>
      </c>
      <c r="Y112" s="2"/>
      <c r="Z112" s="6">
        <f t="shared" si="27"/>
        <v>-0.13832852764447312</v>
      </c>
    </row>
    <row r="113" spans="1:26" s="70" customFormat="1" ht="15" hidden="1" customHeight="1" outlineLevel="2" x14ac:dyDescent="0.25">
      <c r="A113" s="25"/>
      <c r="B113" s="12" t="str">
        <f>CONCATENATE("          ","6252"," - ","ROYALTY DUE CSTV")</f>
        <v xml:space="preserve">          6252 - ROYALTY DUE CSTV</v>
      </c>
      <c r="C113" s="12"/>
      <c r="D113" s="8"/>
      <c r="E113" s="3"/>
      <c r="F113" s="7">
        <f t="shared" si="20"/>
        <v>0</v>
      </c>
      <c r="G113" s="3"/>
      <c r="H113" s="8">
        <v>2156</v>
      </c>
      <c r="I113" s="3"/>
      <c r="J113" s="7">
        <f t="shared" si="21"/>
        <v>5.6674351175940215E-3</v>
      </c>
      <c r="K113" s="3"/>
      <c r="L113" s="8">
        <f t="shared" si="22"/>
        <v>-2156</v>
      </c>
      <c r="M113" s="3"/>
      <c r="N113" s="7">
        <f t="shared" si="23"/>
        <v>-1</v>
      </c>
      <c r="O113" s="12"/>
      <c r="P113" s="8"/>
      <c r="Q113" s="3"/>
      <c r="R113" s="7">
        <f t="shared" si="24"/>
        <v>0</v>
      </c>
      <c r="S113" s="3"/>
      <c r="T113" s="8">
        <v>15686</v>
      </c>
      <c r="U113" s="3"/>
      <c r="V113" s="7">
        <f t="shared" si="25"/>
        <v>1.8260891633494149E-3</v>
      </c>
      <c r="W113" s="3"/>
      <c r="X113" s="8">
        <f t="shared" si="26"/>
        <v>-15686</v>
      </c>
      <c r="Y113" s="3"/>
      <c r="Z113" s="7">
        <f t="shared" si="27"/>
        <v>-1</v>
      </c>
    </row>
    <row r="114" spans="1:26" s="70" customFormat="1" ht="15" hidden="1" customHeight="1" outlineLevel="2" x14ac:dyDescent="0.25">
      <c r="A114" s="25"/>
      <c r="B114" s="12" t="str">
        <f>CONCATENATE("          ","6253"," - ","ROYALTY DUE ATHLETICS-LRG")</f>
        <v xml:space="preserve">          6253 - ROYALTY DUE ATHLETICS-LRG</v>
      </c>
      <c r="C114" s="12"/>
      <c r="D114" s="8">
        <v>-3708.97</v>
      </c>
      <c r="E114" s="3"/>
      <c r="F114" s="7">
        <f t="shared" si="20"/>
        <v>-4.3245820372502389E-3</v>
      </c>
      <c r="G114" s="3"/>
      <c r="H114" s="8">
        <v>0</v>
      </c>
      <c r="I114" s="3"/>
      <c r="J114" s="7">
        <f t="shared" si="21"/>
        <v>0</v>
      </c>
      <c r="K114" s="3"/>
      <c r="L114" s="8">
        <f t="shared" si="22"/>
        <v>-3708.97</v>
      </c>
      <c r="M114" s="3"/>
      <c r="N114" s="7">
        <f t="shared" si="23"/>
        <v>0</v>
      </c>
      <c r="O114" s="12"/>
      <c r="P114" s="8">
        <v>51456.52</v>
      </c>
      <c r="Q114" s="3"/>
      <c r="R114" s="7">
        <f t="shared" si="24"/>
        <v>6.8432484612594782E-3</v>
      </c>
      <c r="S114" s="3"/>
      <c r="T114" s="8">
        <v>38502</v>
      </c>
      <c r="U114" s="3"/>
      <c r="V114" s="7">
        <f t="shared" si="25"/>
        <v>4.4822188554940181E-3</v>
      </c>
      <c r="W114" s="3"/>
      <c r="X114" s="8">
        <f t="shared" si="26"/>
        <v>12954.519999999997</v>
      </c>
      <c r="Y114" s="3"/>
      <c r="Z114" s="7">
        <f t="shared" si="27"/>
        <v>0.33646356033452801</v>
      </c>
    </row>
    <row r="115" spans="1:26" s="70" customFormat="1" ht="15" hidden="1" customHeight="1" outlineLevel="2" x14ac:dyDescent="0.25">
      <c r="A115" s="25"/>
      <c r="B115" s="12" t="str">
        <f>CONCATENATE("          ","6254"," - ","ROYALTY &amp; COMMISSIONS")</f>
        <v xml:space="preserve">          6254 - ROYALTY &amp; COMMISSIONS</v>
      </c>
      <c r="C115" s="12"/>
      <c r="D115" s="8">
        <v>6293.1</v>
      </c>
      <c r="E115" s="3"/>
      <c r="F115" s="7">
        <f t="shared" si="20"/>
        <v>7.3376239814879817E-3</v>
      </c>
      <c r="G115" s="3"/>
      <c r="H115" s="8">
        <v>1000</v>
      </c>
      <c r="I115" s="3"/>
      <c r="J115" s="7">
        <f t="shared" si="21"/>
        <v>2.6286804812588227E-3</v>
      </c>
      <c r="K115" s="3"/>
      <c r="L115" s="8">
        <f t="shared" si="22"/>
        <v>5293.1</v>
      </c>
      <c r="M115" s="3"/>
      <c r="N115" s="7">
        <f t="shared" si="23"/>
        <v>5.2931000000000008</v>
      </c>
      <c r="O115" s="12"/>
      <c r="P115" s="8">
        <v>20699.490000000002</v>
      </c>
      <c r="Q115" s="3"/>
      <c r="R115" s="7">
        <f t="shared" si="24"/>
        <v>2.7528436258681304E-3</v>
      </c>
      <c r="S115" s="3"/>
      <c r="T115" s="8">
        <v>4500</v>
      </c>
      <c r="U115" s="3"/>
      <c r="V115" s="7">
        <f t="shared" si="25"/>
        <v>5.2386849643455105E-4</v>
      </c>
      <c r="W115" s="3"/>
      <c r="X115" s="8">
        <f t="shared" si="26"/>
        <v>16199.490000000002</v>
      </c>
      <c r="Y115" s="3"/>
      <c r="Z115" s="7">
        <f t="shared" si="27"/>
        <v>3.5998866666666669</v>
      </c>
    </row>
    <row r="116" spans="1:26" s="70" customFormat="1" ht="15" hidden="1" customHeight="1" outlineLevel="2" x14ac:dyDescent="0.25">
      <c r="A116" s="25"/>
      <c r="B116" s="12" t="str">
        <f>CONCATENATE("          ","6259"," - ","ROYALTY &amp; COMMISSIONS")</f>
        <v xml:space="preserve">          6259 - ROYALTY &amp; COMMISSIONS</v>
      </c>
      <c r="C116" s="12"/>
      <c r="D116" s="8">
        <v>1260.81</v>
      </c>
      <c r="E116" s="3"/>
      <c r="F116" s="7">
        <f t="shared" ref="F116:F142" si="28">IF(D$12=0,0,D116/D$12)</f>
        <v>1.470078290842329E-3</v>
      </c>
      <c r="G116" s="3"/>
      <c r="H116" s="8">
        <v>6500</v>
      </c>
      <c r="I116" s="3"/>
      <c r="J116" s="7">
        <f t="shared" ref="J116:J142" si="29">IF(H$12=0,0,H116/H$12)</f>
        <v>1.7086423128182347E-2</v>
      </c>
      <c r="K116" s="3"/>
      <c r="L116" s="8">
        <f t="shared" ref="L116:L142" si="30">+D116-H116</f>
        <v>-5239.1900000000005</v>
      </c>
      <c r="M116" s="3"/>
      <c r="N116" s="7">
        <f t="shared" ref="N116:N142" si="31">IF(H116=0,0,L116/H116)</f>
        <v>-0.80602923076923083</v>
      </c>
      <c r="O116" s="12"/>
      <c r="P116" s="8">
        <v>13311.46</v>
      </c>
      <c r="Q116" s="3"/>
      <c r="R116" s="7">
        <f t="shared" ref="R116:R142" si="32">IF(P$12=0,0,P116/P$12)</f>
        <v>1.7703029307484667E-3</v>
      </c>
      <c r="S116" s="3"/>
      <c r="T116" s="8">
        <v>40500</v>
      </c>
      <c r="U116" s="3"/>
      <c r="V116" s="7">
        <f t="shared" ref="V116:V142" si="33">IF(T$12=0,0,T116/T$12)</f>
        <v>4.7148164679109593E-3</v>
      </c>
      <c r="W116" s="3"/>
      <c r="X116" s="8">
        <f t="shared" ref="X116:X142" si="34">+P116-T116</f>
        <v>-27188.54</v>
      </c>
      <c r="Y116" s="3"/>
      <c r="Z116" s="7">
        <f t="shared" ref="Z116:Z142" si="35">IF(T116=0,0,X116/T116)</f>
        <v>-0.67132197530864202</v>
      </c>
    </row>
    <row r="117" spans="1:26" s="69" customFormat="1" ht="15" customHeight="1" outlineLevel="1" collapsed="1" x14ac:dyDescent="0.25">
      <c r="A117" s="26"/>
      <c r="B117" s="14" t="str">
        <f>CONCATENATE("     ","Services                                          ")</f>
        <v xml:space="preserve">     Services                                          </v>
      </c>
      <c r="C117" s="14"/>
      <c r="D117" s="2">
        <f>SUM(OSRRefD22_18x_0)</f>
        <v>5084.1499999999996</v>
      </c>
      <c r="E117" s="2"/>
      <c r="F117" s="6">
        <f t="shared" si="28"/>
        <v>5.9280133742483226E-3</v>
      </c>
      <c r="G117" s="2"/>
      <c r="H117" s="2">
        <f>SUM(OSRRefH22_18x_0)</f>
        <v>4360</v>
      </c>
      <c r="I117" s="2"/>
      <c r="J117" s="6">
        <f t="shared" si="29"/>
        <v>1.1461046898288467E-2</v>
      </c>
      <c r="K117" s="2"/>
      <c r="L117" s="2">
        <f t="shared" si="30"/>
        <v>724.14999999999964</v>
      </c>
      <c r="M117" s="2"/>
      <c r="N117" s="6">
        <f t="shared" si="31"/>
        <v>0.16608944954128432</v>
      </c>
      <c r="O117" s="14"/>
      <c r="P117" s="2">
        <f>SUM(OSRRefP22_18x_0)</f>
        <v>61594.909999999996</v>
      </c>
      <c r="Q117" s="2"/>
      <c r="R117" s="6">
        <f t="shared" si="32"/>
        <v>8.1915619843494283E-3</v>
      </c>
      <c r="S117" s="2"/>
      <c r="T117" s="2">
        <f>SUM(OSRRefT22_18x_0)</f>
        <v>48140</v>
      </c>
      <c r="U117" s="2"/>
      <c r="V117" s="6">
        <f t="shared" si="33"/>
        <v>5.6042287596353964E-3</v>
      </c>
      <c r="W117" s="2"/>
      <c r="X117" s="2">
        <f t="shared" si="34"/>
        <v>13454.909999999996</v>
      </c>
      <c r="Y117" s="2"/>
      <c r="Z117" s="6">
        <f t="shared" si="35"/>
        <v>0.27949542999584537</v>
      </c>
    </row>
    <row r="118" spans="1:26" s="70" customFormat="1" ht="15" hidden="1" customHeight="1" outlineLevel="2" x14ac:dyDescent="0.25">
      <c r="A118" s="25"/>
      <c r="B118" s="12" t="str">
        <f>CONCATENATE("          ","6282"," - ","JANITORIAL/EXTERMINATOR EXPENS")</f>
        <v xml:space="preserve">          6282 - JANITORIAL/EXTERMINATOR EXPENS</v>
      </c>
      <c r="C118" s="12"/>
      <c r="D118" s="8">
        <v>236.05</v>
      </c>
      <c r="E118" s="3"/>
      <c r="F118" s="7">
        <f t="shared" si="28"/>
        <v>2.7522940058639429E-4</v>
      </c>
      <c r="G118" s="3"/>
      <c r="H118" s="8">
        <v>4300</v>
      </c>
      <c r="I118" s="3"/>
      <c r="J118" s="7">
        <f t="shared" si="29"/>
        <v>1.1303326069412936E-2</v>
      </c>
      <c r="K118" s="3"/>
      <c r="L118" s="8">
        <f t="shared" si="30"/>
        <v>-4063.95</v>
      </c>
      <c r="M118" s="3"/>
      <c r="N118" s="7">
        <f t="shared" si="31"/>
        <v>-0.94510465116279063</v>
      </c>
      <c r="O118" s="12"/>
      <c r="P118" s="8">
        <v>3199.33</v>
      </c>
      <c r="Q118" s="3"/>
      <c r="R118" s="7">
        <f t="shared" si="32"/>
        <v>4.2548174846571992E-4</v>
      </c>
      <c r="S118" s="3"/>
      <c r="T118" s="8">
        <v>47300</v>
      </c>
      <c r="U118" s="3"/>
      <c r="V118" s="7">
        <f t="shared" si="33"/>
        <v>5.506439973634281E-3</v>
      </c>
      <c r="W118" s="3"/>
      <c r="X118" s="8">
        <f t="shared" si="34"/>
        <v>-44100.67</v>
      </c>
      <c r="Y118" s="3"/>
      <c r="Z118" s="7">
        <f t="shared" si="35"/>
        <v>-0.93236088794925998</v>
      </c>
    </row>
    <row r="119" spans="1:26" s="70" customFormat="1" ht="15" hidden="1" customHeight="1" outlineLevel="2" x14ac:dyDescent="0.25">
      <c r="A119" s="25"/>
      <c r="B119" s="12" t="str">
        <f>CONCATENATE("          ","6284"," - ","TRASH REMOVAL EXPENSE")</f>
        <v xml:space="preserve">          6284 - TRASH REMOVAL EXPENSE</v>
      </c>
      <c r="C119" s="12"/>
      <c r="D119" s="8">
        <v>149.69999999999999</v>
      </c>
      <c r="E119" s="3"/>
      <c r="F119" s="7">
        <f t="shared" si="28"/>
        <v>1.7454709285229071E-4</v>
      </c>
      <c r="G119" s="3"/>
      <c r="H119" s="8">
        <v>60</v>
      </c>
      <c r="I119" s="3"/>
      <c r="J119" s="7">
        <f t="shared" si="29"/>
        <v>1.5772082887552936E-4</v>
      </c>
      <c r="K119" s="3"/>
      <c r="L119" s="8">
        <f t="shared" si="30"/>
        <v>89.699999999999989</v>
      </c>
      <c r="M119" s="3"/>
      <c r="N119" s="7">
        <f t="shared" si="31"/>
        <v>1.4949999999999999</v>
      </c>
      <c r="O119" s="12"/>
      <c r="P119" s="8">
        <v>1489.87</v>
      </c>
      <c r="Q119" s="3"/>
      <c r="R119" s="7">
        <f t="shared" si="32"/>
        <v>1.9813913931561363E-4</v>
      </c>
      <c r="S119" s="3"/>
      <c r="T119" s="8">
        <v>840</v>
      </c>
      <c r="U119" s="3"/>
      <c r="V119" s="7">
        <f t="shared" si="33"/>
        <v>9.7788786001116182E-5</v>
      </c>
      <c r="W119" s="3"/>
      <c r="X119" s="8">
        <f t="shared" si="34"/>
        <v>649.86999999999989</v>
      </c>
      <c r="Y119" s="3"/>
      <c r="Z119" s="7">
        <f t="shared" si="35"/>
        <v>0.77365476190476179</v>
      </c>
    </row>
    <row r="120" spans="1:26" s="70" customFormat="1" ht="15" hidden="1" customHeight="1" outlineLevel="2" x14ac:dyDescent="0.25">
      <c r="A120" s="25"/>
      <c r="B120" s="12" t="str">
        <f>CONCATENATE("          ","6285"," - ","JANITORIAL SERVICES")</f>
        <v xml:space="preserve">          6285 - JANITORIAL SERVICES</v>
      </c>
      <c r="C120" s="12"/>
      <c r="D120" s="8">
        <v>4698.3999999999996</v>
      </c>
      <c r="E120" s="3"/>
      <c r="F120" s="7">
        <f t="shared" si="28"/>
        <v>5.4782368808096371E-3</v>
      </c>
      <c r="G120" s="3"/>
      <c r="H120" s="8"/>
      <c r="I120" s="3"/>
      <c r="J120" s="7">
        <f t="shared" si="29"/>
        <v>0</v>
      </c>
      <c r="K120" s="3"/>
      <c r="L120" s="8">
        <f t="shared" si="30"/>
        <v>4698.3999999999996</v>
      </c>
      <c r="M120" s="3"/>
      <c r="N120" s="7">
        <f t="shared" si="31"/>
        <v>0</v>
      </c>
      <c r="O120" s="12"/>
      <c r="P120" s="8">
        <v>56905.71</v>
      </c>
      <c r="Q120" s="3"/>
      <c r="R120" s="7">
        <f t="shared" si="32"/>
        <v>7.5679410965680954E-3</v>
      </c>
      <c r="S120" s="3"/>
      <c r="T120" s="8"/>
      <c r="U120" s="3"/>
      <c r="V120" s="7">
        <f t="shared" si="33"/>
        <v>0</v>
      </c>
      <c r="W120" s="3"/>
      <c r="X120" s="8">
        <f t="shared" si="34"/>
        <v>56905.71</v>
      </c>
      <c r="Y120" s="3"/>
      <c r="Z120" s="7">
        <f t="shared" si="35"/>
        <v>0</v>
      </c>
    </row>
    <row r="121" spans="1:26" s="69" customFormat="1" ht="15" customHeight="1" outlineLevel="1" collapsed="1" x14ac:dyDescent="0.25">
      <c r="A121" s="26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2">
        <f>SUM(OSRRefD22_19x_0)</f>
        <v>2287.59</v>
      </c>
      <c r="E121" s="2"/>
      <c r="F121" s="6">
        <f t="shared" si="28"/>
        <v>2.6672824591714881E-3</v>
      </c>
      <c r="G121" s="2"/>
      <c r="H121" s="2">
        <f>SUM(OSRRefH22_19x_0)</f>
        <v>481</v>
      </c>
      <c r="I121" s="2"/>
      <c r="J121" s="6">
        <f t="shared" si="29"/>
        <v>1.2643953114854936E-3</v>
      </c>
      <c r="K121" s="2"/>
      <c r="L121" s="2">
        <f t="shared" si="30"/>
        <v>1806.5900000000001</v>
      </c>
      <c r="M121" s="2"/>
      <c r="N121" s="6">
        <f t="shared" si="31"/>
        <v>3.755904365904366</v>
      </c>
      <c r="O121" s="14"/>
      <c r="P121" s="2">
        <f>SUM(OSRRefP22_19x_0)</f>
        <v>7183.53</v>
      </c>
      <c r="Q121" s="2"/>
      <c r="R121" s="6">
        <f t="shared" si="32"/>
        <v>9.5534405783584474E-4</v>
      </c>
      <c r="S121" s="2"/>
      <c r="T121" s="2">
        <f>SUM(OSRRefT22_19x_0)</f>
        <v>12886</v>
      </c>
      <c r="U121" s="2"/>
      <c r="V121" s="6">
        <f t="shared" si="33"/>
        <v>1.5001265433456942E-3</v>
      </c>
      <c r="W121" s="2"/>
      <c r="X121" s="2">
        <f t="shared" si="34"/>
        <v>-5702.47</v>
      </c>
      <c r="Y121" s="2"/>
      <c r="Z121" s="6">
        <f t="shared" si="35"/>
        <v>-0.44253220549433497</v>
      </c>
    </row>
    <row r="122" spans="1:26" s="70" customFormat="1" ht="15" hidden="1" customHeight="1" outlineLevel="2" x14ac:dyDescent="0.25">
      <c r="A122" s="25"/>
      <c r="B122" s="12" t="str">
        <f>CONCATENATE("          ","6258"," - ","MEMBERSHIP DUES")</f>
        <v xml:space="preserve">          6258 - MEMBERSHIP DUES</v>
      </c>
      <c r="C122" s="12"/>
      <c r="D122" s="8">
        <v>843.84</v>
      </c>
      <c r="E122" s="3"/>
      <c r="F122" s="7">
        <f t="shared" si="28"/>
        <v>9.8389992540064814E-4</v>
      </c>
      <c r="G122" s="3"/>
      <c r="H122" s="8">
        <v>300</v>
      </c>
      <c r="I122" s="3"/>
      <c r="J122" s="7">
        <f t="shared" si="29"/>
        <v>7.8860414437764671E-4</v>
      </c>
      <c r="K122" s="3"/>
      <c r="L122" s="8">
        <f t="shared" si="30"/>
        <v>543.84</v>
      </c>
      <c r="M122" s="3"/>
      <c r="N122" s="7">
        <f t="shared" si="31"/>
        <v>1.8128000000000002</v>
      </c>
      <c r="O122" s="12"/>
      <c r="P122" s="8">
        <v>3832.14</v>
      </c>
      <c r="Q122" s="3"/>
      <c r="R122" s="7">
        <f t="shared" si="32"/>
        <v>5.0963971442940365E-4</v>
      </c>
      <c r="S122" s="3"/>
      <c r="T122" s="8">
        <v>9695</v>
      </c>
      <c r="U122" s="3"/>
      <c r="V122" s="7">
        <f t="shared" si="33"/>
        <v>1.1286455717628827E-3</v>
      </c>
      <c r="W122" s="3"/>
      <c r="X122" s="8">
        <f t="shared" si="34"/>
        <v>-5862.8600000000006</v>
      </c>
      <c r="Y122" s="3"/>
      <c r="Z122" s="7">
        <f t="shared" si="35"/>
        <v>-0.60473027333677154</v>
      </c>
    </row>
    <row r="123" spans="1:26" s="70" customFormat="1" ht="15" hidden="1" customHeight="1" outlineLevel="2" x14ac:dyDescent="0.25">
      <c r="A123" s="25"/>
      <c r="B123" s="12" t="str">
        <f>CONCATENATE("          ","6275"," - ","SUBSCRIPTIONS")</f>
        <v xml:space="preserve">          6275 - SUBSCRIPTIONS</v>
      </c>
      <c r="C123" s="12"/>
      <c r="D123" s="8">
        <v>1443.75</v>
      </c>
      <c r="E123" s="3"/>
      <c r="F123" s="7">
        <f t="shared" si="28"/>
        <v>1.68338253377084E-3</v>
      </c>
      <c r="G123" s="3"/>
      <c r="H123" s="8">
        <v>181</v>
      </c>
      <c r="I123" s="3"/>
      <c r="J123" s="7">
        <f t="shared" si="29"/>
        <v>4.7579116710784686E-4</v>
      </c>
      <c r="K123" s="3"/>
      <c r="L123" s="8">
        <f t="shared" si="30"/>
        <v>1262.75</v>
      </c>
      <c r="M123" s="3"/>
      <c r="N123" s="7">
        <f t="shared" si="31"/>
        <v>6.9765193370165743</v>
      </c>
      <c r="O123" s="12"/>
      <c r="P123" s="8">
        <v>3351.39</v>
      </c>
      <c r="Q123" s="3"/>
      <c r="R123" s="7">
        <f t="shared" si="32"/>
        <v>4.4570434340644109E-4</v>
      </c>
      <c r="S123" s="3"/>
      <c r="T123" s="8">
        <v>3191</v>
      </c>
      <c r="U123" s="3"/>
      <c r="V123" s="7">
        <f t="shared" si="33"/>
        <v>3.7148097158281164E-4</v>
      </c>
      <c r="W123" s="3"/>
      <c r="X123" s="8">
        <f t="shared" si="34"/>
        <v>160.38999999999987</v>
      </c>
      <c r="Y123" s="3"/>
      <c r="Z123" s="7">
        <f t="shared" si="35"/>
        <v>5.0263240363522366E-2</v>
      </c>
    </row>
    <row r="124" spans="1:26" s="69" customFormat="1" ht="15" customHeight="1" outlineLevel="1" collapsed="1" x14ac:dyDescent="0.25">
      <c r="A124" s="26"/>
      <c r="B124" s="14" t="str">
        <f>CONCATENATE("     ","Supplies                                          ")</f>
        <v xml:space="preserve">     Supplies                                          </v>
      </c>
      <c r="C124" s="14"/>
      <c r="D124" s="2">
        <f>SUM(OSRRefD22_20x_0)</f>
        <v>18264.050000000003</v>
      </c>
      <c r="E124" s="2"/>
      <c r="F124" s="6">
        <f t="shared" si="28"/>
        <v>2.1295503214488185E-2</v>
      </c>
      <c r="G124" s="2"/>
      <c r="H124" s="2">
        <f>SUM(OSRRefH22_20x_0)</f>
        <v>11920</v>
      </c>
      <c r="I124" s="2"/>
      <c r="J124" s="6">
        <f t="shared" si="29"/>
        <v>3.1333871336605167E-2</v>
      </c>
      <c r="K124" s="2"/>
      <c r="L124" s="2">
        <f t="shared" si="30"/>
        <v>6344.0500000000029</v>
      </c>
      <c r="M124" s="2"/>
      <c r="N124" s="6">
        <f t="shared" si="31"/>
        <v>0.53221895973154387</v>
      </c>
      <c r="O124" s="14"/>
      <c r="P124" s="2">
        <f>SUM(OSRRefP22_20x_0)</f>
        <v>116077.57</v>
      </c>
      <c r="Q124" s="2"/>
      <c r="R124" s="6">
        <f t="shared" si="32"/>
        <v>1.5437259501599397E-2</v>
      </c>
      <c r="S124" s="2"/>
      <c r="T124" s="2">
        <f>SUM(OSRRefT22_20x_0)</f>
        <v>122350</v>
      </c>
      <c r="U124" s="2"/>
      <c r="V124" s="6">
        <f t="shared" si="33"/>
        <v>1.4243402341948293E-2</v>
      </c>
      <c r="W124" s="2"/>
      <c r="X124" s="2">
        <f t="shared" si="34"/>
        <v>-6272.429999999993</v>
      </c>
      <c r="Y124" s="2"/>
      <c r="Z124" s="6">
        <f t="shared" si="35"/>
        <v>-5.1266285247241465E-2</v>
      </c>
    </row>
    <row r="125" spans="1:26" s="70" customFormat="1" ht="15" hidden="1" customHeight="1" outlineLevel="2" x14ac:dyDescent="0.25">
      <c r="A125" s="25"/>
      <c r="B125" s="12" t="str">
        <f>CONCATENATE("          ","6234"," - ","EXPENDABLE SUPPLIES &amp; EQUIPMEN")</f>
        <v xml:space="preserve">          6234 - EXPENDABLE SUPPLIES &amp; EQUIPMEN</v>
      </c>
      <c r="C125" s="12"/>
      <c r="D125" s="8"/>
      <c r="E125" s="3"/>
      <c r="F125" s="7">
        <f t="shared" si="28"/>
        <v>0</v>
      </c>
      <c r="G125" s="3"/>
      <c r="H125" s="8">
        <v>300</v>
      </c>
      <c r="I125" s="3"/>
      <c r="J125" s="7">
        <f t="shared" si="29"/>
        <v>7.8860414437764671E-4</v>
      </c>
      <c r="K125" s="3"/>
      <c r="L125" s="8">
        <f t="shared" si="30"/>
        <v>-300</v>
      </c>
      <c r="M125" s="3"/>
      <c r="N125" s="7">
        <f t="shared" si="31"/>
        <v>-1</v>
      </c>
      <c r="O125" s="12"/>
      <c r="P125" s="8">
        <v>10282.879999999999</v>
      </c>
      <c r="Q125" s="3"/>
      <c r="R125" s="7">
        <f t="shared" si="32"/>
        <v>1.3675293769830502E-3</v>
      </c>
      <c r="S125" s="3"/>
      <c r="T125" s="8">
        <v>2700</v>
      </c>
      <c r="U125" s="3"/>
      <c r="V125" s="7">
        <f t="shared" si="33"/>
        <v>3.1432109786073059E-4</v>
      </c>
      <c r="W125" s="3"/>
      <c r="X125" s="8">
        <f t="shared" si="34"/>
        <v>7582.8799999999992</v>
      </c>
      <c r="Y125" s="3"/>
      <c r="Z125" s="7">
        <f t="shared" si="35"/>
        <v>2.8084740740740739</v>
      </c>
    </row>
    <row r="126" spans="1:26" s="70" customFormat="1" ht="15" hidden="1" customHeight="1" outlineLevel="2" x14ac:dyDescent="0.25">
      <c r="A126" s="25"/>
      <c r="B126" s="12" t="str">
        <f>CONCATENATE("          ","6235"," - ","COVID-19 EXPENSES")</f>
        <v xml:space="preserve">          6235 - COVID-19 EXPENSES</v>
      </c>
      <c r="C126" s="12"/>
      <c r="D126" s="8">
        <v>156</v>
      </c>
      <c r="E126" s="3"/>
      <c r="F126" s="7">
        <f t="shared" si="28"/>
        <v>1.8189276209056349E-4</v>
      </c>
      <c r="G126" s="3"/>
      <c r="H126" s="8">
        <v>125</v>
      </c>
      <c r="I126" s="3"/>
      <c r="J126" s="7">
        <f t="shared" si="29"/>
        <v>3.2858506015735284E-4</v>
      </c>
      <c r="K126" s="3"/>
      <c r="L126" s="8">
        <f t="shared" si="30"/>
        <v>31</v>
      </c>
      <c r="M126" s="3"/>
      <c r="N126" s="7">
        <f t="shared" si="31"/>
        <v>0.248</v>
      </c>
      <c r="O126" s="12"/>
      <c r="P126" s="8">
        <v>3586.32</v>
      </c>
      <c r="Q126" s="3"/>
      <c r="R126" s="7">
        <f t="shared" si="32"/>
        <v>4.769478935144486E-4</v>
      </c>
      <c r="S126" s="3"/>
      <c r="T126" s="8">
        <v>1375</v>
      </c>
      <c r="U126" s="3"/>
      <c r="V126" s="7">
        <f t="shared" si="33"/>
        <v>1.600709294661128E-4</v>
      </c>
      <c r="W126" s="3"/>
      <c r="X126" s="8">
        <f t="shared" si="34"/>
        <v>2211.3200000000002</v>
      </c>
      <c r="Y126" s="3"/>
      <c r="Z126" s="7">
        <f t="shared" si="35"/>
        <v>1.6082327272727275</v>
      </c>
    </row>
    <row r="127" spans="1:26" s="70" customFormat="1" ht="15" hidden="1" customHeight="1" outlineLevel="2" x14ac:dyDescent="0.25">
      <c r="A127" s="25"/>
      <c r="B127" s="12" t="str">
        <f>CONCATENATE("          ","6237"," - ","JANITORIAL SUPPLIES")</f>
        <v xml:space="preserve">          6237 - JANITORIAL SUPPLIES</v>
      </c>
      <c r="C127" s="12"/>
      <c r="D127" s="8">
        <v>452.35</v>
      </c>
      <c r="E127" s="3"/>
      <c r="F127" s="7">
        <f t="shared" si="28"/>
        <v>5.2743071110042557E-4</v>
      </c>
      <c r="G127" s="3"/>
      <c r="H127" s="8">
        <v>50</v>
      </c>
      <c r="I127" s="3"/>
      <c r="J127" s="7">
        <f t="shared" si="29"/>
        <v>1.3143402406294114E-4</v>
      </c>
      <c r="K127" s="3"/>
      <c r="L127" s="8">
        <f t="shared" si="30"/>
        <v>402.35</v>
      </c>
      <c r="M127" s="3"/>
      <c r="N127" s="7">
        <f t="shared" si="31"/>
        <v>8.0470000000000006</v>
      </c>
      <c r="O127" s="12"/>
      <c r="P127" s="8">
        <v>6648.25</v>
      </c>
      <c r="Q127" s="3"/>
      <c r="R127" s="7">
        <f t="shared" si="32"/>
        <v>8.8415669350683506E-4</v>
      </c>
      <c r="S127" s="3"/>
      <c r="T127" s="8">
        <v>230</v>
      </c>
      <c r="U127" s="3"/>
      <c r="V127" s="7">
        <f t="shared" si="33"/>
        <v>2.6775500928877053E-5</v>
      </c>
      <c r="W127" s="3"/>
      <c r="X127" s="8">
        <f t="shared" si="34"/>
        <v>6418.25</v>
      </c>
      <c r="Y127" s="3"/>
      <c r="Z127" s="7">
        <f t="shared" si="35"/>
        <v>27.905434782608694</v>
      </c>
    </row>
    <row r="128" spans="1:26" s="70" customFormat="1" ht="15" hidden="1" customHeight="1" outlineLevel="2" x14ac:dyDescent="0.25">
      <c r="A128" s="25"/>
      <c r="B128" s="12" t="str">
        <f>CONCATENATE("          ","6241"," - ","OFFICE EXPENSE")</f>
        <v xml:space="preserve">          6241 - OFFICE EXPENSE</v>
      </c>
      <c r="C128" s="12"/>
      <c r="D128" s="8">
        <v>648.09</v>
      </c>
      <c r="E128" s="3"/>
      <c r="F128" s="7">
        <f t="shared" si="28"/>
        <v>7.5565948835431597E-4</v>
      </c>
      <c r="G128" s="3"/>
      <c r="H128" s="8">
        <v>470</v>
      </c>
      <c r="I128" s="3"/>
      <c r="J128" s="7">
        <f t="shared" si="29"/>
        <v>1.2354798261916466E-3</v>
      </c>
      <c r="K128" s="3"/>
      <c r="L128" s="8">
        <f t="shared" si="30"/>
        <v>178.09000000000003</v>
      </c>
      <c r="M128" s="3"/>
      <c r="N128" s="7">
        <f t="shared" si="31"/>
        <v>0.37891489361702135</v>
      </c>
      <c r="O128" s="12"/>
      <c r="P128" s="8">
        <v>17655.98</v>
      </c>
      <c r="Q128" s="3"/>
      <c r="R128" s="7">
        <f t="shared" si="32"/>
        <v>2.3480845180946577E-3</v>
      </c>
      <c r="S128" s="3"/>
      <c r="T128" s="8">
        <v>6420</v>
      </c>
      <c r="U128" s="3"/>
      <c r="V128" s="7">
        <f t="shared" si="33"/>
        <v>7.4738572157995945E-4</v>
      </c>
      <c r="W128" s="3"/>
      <c r="X128" s="8">
        <f t="shared" si="34"/>
        <v>11235.98</v>
      </c>
      <c r="Y128" s="3"/>
      <c r="Z128" s="7">
        <f t="shared" si="35"/>
        <v>1.7501526479750777</v>
      </c>
    </row>
    <row r="129" spans="1:26" s="70" customFormat="1" ht="15" hidden="1" customHeight="1" outlineLevel="2" x14ac:dyDescent="0.25">
      <c r="A129" s="25"/>
      <c r="B129" s="12" t="str">
        <f>CONCATENATE("          ","6243"," - ","PAPER SUPPLIES")</f>
        <v xml:space="preserve">          6243 - PAPER SUPPLIES</v>
      </c>
      <c r="C129" s="12"/>
      <c r="D129" s="8">
        <v>2845.58</v>
      </c>
      <c r="E129" s="3"/>
      <c r="F129" s="7">
        <f t="shared" si="28"/>
        <v>3.3178872176260615E-3</v>
      </c>
      <c r="G129" s="3"/>
      <c r="H129" s="8">
        <v>2800</v>
      </c>
      <c r="I129" s="3"/>
      <c r="J129" s="7">
        <f t="shared" si="29"/>
        <v>7.3603053475247027E-3</v>
      </c>
      <c r="K129" s="3"/>
      <c r="L129" s="8">
        <f t="shared" si="30"/>
        <v>45.579999999999927</v>
      </c>
      <c r="M129" s="3"/>
      <c r="N129" s="7">
        <f t="shared" si="31"/>
        <v>1.6278571428571403E-2</v>
      </c>
      <c r="O129" s="12"/>
      <c r="P129" s="8">
        <v>10090.94</v>
      </c>
      <c r="Q129" s="3"/>
      <c r="R129" s="7">
        <f t="shared" si="32"/>
        <v>1.3420031052947562E-3</v>
      </c>
      <c r="S129" s="3"/>
      <c r="T129" s="8">
        <v>37350</v>
      </c>
      <c r="U129" s="3"/>
      <c r="V129" s="7">
        <f t="shared" si="33"/>
        <v>4.3481085204067731E-3</v>
      </c>
      <c r="W129" s="3"/>
      <c r="X129" s="8">
        <f t="shared" si="34"/>
        <v>-27259.059999999998</v>
      </c>
      <c r="Y129" s="3"/>
      <c r="Z129" s="7">
        <f t="shared" si="35"/>
        <v>-0.72982757697456491</v>
      </c>
    </row>
    <row r="130" spans="1:26" s="70" customFormat="1" ht="15" hidden="1" customHeight="1" outlineLevel="2" x14ac:dyDescent="0.25">
      <c r="A130" s="25"/>
      <c r="B130" s="12" t="str">
        <f>CONCATENATE("          ","6245"," - ","PRINTING")</f>
        <v xml:space="preserve">          6245 - PRINTING</v>
      </c>
      <c r="C130" s="12"/>
      <c r="D130" s="8">
        <v>4762.72</v>
      </c>
      <c r="E130" s="3"/>
      <c r="F130" s="7">
        <f t="shared" si="28"/>
        <v>5.5532326657946702E-3</v>
      </c>
      <c r="G130" s="3"/>
      <c r="H130" s="8">
        <v>2300</v>
      </c>
      <c r="I130" s="3"/>
      <c r="J130" s="7">
        <f t="shared" si="29"/>
        <v>6.0459651068952916E-3</v>
      </c>
      <c r="K130" s="3"/>
      <c r="L130" s="8">
        <f t="shared" si="30"/>
        <v>2462.7200000000003</v>
      </c>
      <c r="M130" s="3"/>
      <c r="N130" s="7">
        <f t="shared" si="31"/>
        <v>1.0707478260869567</v>
      </c>
      <c r="O130" s="12"/>
      <c r="P130" s="8">
        <v>11703.4</v>
      </c>
      <c r="Q130" s="3"/>
      <c r="R130" s="7">
        <f t="shared" si="32"/>
        <v>1.556445597982611E-3</v>
      </c>
      <c r="S130" s="3"/>
      <c r="T130" s="8">
        <v>10345</v>
      </c>
      <c r="U130" s="3"/>
      <c r="V130" s="7">
        <f t="shared" si="33"/>
        <v>1.2043154656923179E-3</v>
      </c>
      <c r="W130" s="3"/>
      <c r="X130" s="8">
        <f t="shared" si="34"/>
        <v>1358.3999999999996</v>
      </c>
      <c r="Y130" s="3"/>
      <c r="Z130" s="7">
        <f t="shared" si="35"/>
        <v>0.13130981150314158</v>
      </c>
    </row>
    <row r="131" spans="1:26" s="70" customFormat="1" ht="15" hidden="1" customHeight="1" outlineLevel="2" x14ac:dyDescent="0.25">
      <c r="A131" s="25"/>
      <c r="B131" s="12" t="str">
        <f>CONCATENATE("          ","6247"," - ","STORE SUPPLIES")</f>
        <v xml:space="preserve">          6247 - STORE SUPPLIES</v>
      </c>
      <c r="C131" s="12"/>
      <c r="D131" s="8">
        <v>9399.31</v>
      </c>
      <c r="E131" s="3"/>
      <c r="F131" s="7">
        <f t="shared" si="28"/>
        <v>1.0959400369522141E-2</v>
      </c>
      <c r="G131" s="3"/>
      <c r="H131" s="8">
        <v>5875</v>
      </c>
      <c r="I131" s="3"/>
      <c r="J131" s="7">
        <f t="shared" si="29"/>
        <v>1.5443497827395583E-2</v>
      </c>
      <c r="K131" s="3"/>
      <c r="L131" s="8">
        <f t="shared" si="30"/>
        <v>3524.3099999999995</v>
      </c>
      <c r="M131" s="3"/>
      <c r="N131" s="7">
        <f t="shared" si="31"/>
        <v>0.59988255319148931</v>
      </c>
      <c r="O131" s="12"/>
      <c r="P131" s="8">
        <v>56109.8</v>
      </c>
      <c r="Q131" s="3"/>
      <c r="R131" s="7">
        <f t="shared" si="32"/>
        <v>7.4620923162230382E-3</v>
      </c>
      <c r="S131" s="3"/>
      <c r="T131" s="8">
        <v>63930</v>
      </c>
      <c r="U131" s="3"/>
      <c r="V131" s="7">
        <f t="shared" si="33"/>
        <v>7.4424251060135217E-3</v>
      </c>
      <c r="W131" s="3"/>
      <c r="X131" s="8">
        <f t="shared" si="34"/>
        <v>-7820.1999999999971</v>
      </c>
      <c r="Y131" s="3"/>
      <c r="Z131" s="7">
        <f t="shared" si="35"/>
        <v>-0.12232441733145623</v>
      </c>
    </row>
    <row r="132" spans="1:26" s="69" customFormat="1" ht="15" customHeight="1" outlineLevel="1" collapsed="1" x14ac:dyDescent="0.25">
      <c r="A132" s="26"/>
      <c r="B132" s="14" t="str">
        <f>CONCATENATE("     ","Telephone/Data Lines                              ")</f>
        <v xml:space="preserve">     Telephone/Data Lines                              </v>
      </c>
      <c r="C132" s="14"/>
      <c r="D132" s="2">
        <f>SUM(OSRRefD22_21x_0)</f>
        <v>1654.19</v>
      </c>
      <c r="E132" s="2"/>
      <c r="F132" s="6">
        <f t="shared" si="28"/>
        <v>1.9287512059140335E-3</v>
      </c>
      <c r="G132" s="2"/>
      <c r="H132" s="2">
        <f>SUM(OSRRefH22_21x_0)</f>
        <v>1735</v>
      </c>
      <c r="I132" s="2"/>
      <c r="J132" s="6">
        <f t="shared" si="29"/>
        <v>4.5607606349840572E-3</v>
      </c>
      <c r="K132" s="2"/>
      <c r="L132" s="2">
        <f t="shared" si="30"/>
        <v>-80.809999999999945</v>
      </c>
      <c r="M132" s="2"/>
      <c r="N132" s="6">
        <f t="shared" si="31"/>
        <v>-4.6576368876080659E-2</v>
      </c>
      <c r="O132" s="14"/>
      <c r="P132" s="2">
        <f>SUM(OSRRefP22_21x_0)</f>
        <v>20152.05</v>
      </c>
      <c r="Q132" s="2"/>
      <c r="R132" s="6">
        <f t="shared" si="32"/>
        <v>2.6800390923001414E-3</v>
      </c>
      <c r="S132" s="2"/>
      <c r="T132" s="2">
        <f>SUM(OSRRefT22_21x_0)</f>
        <v>19685</v>
      </c>
      <c r="U132" s="2"/>
      <c r="V132" s="6">
        <f t="shared" si="33"/>
        <v>2.2916336338475859E-3</v>
      </c>
      <c r="W132" s="2"/>
      <c r="X132" s="2">
        <f t="shared" si="34"/>
        <v>467.04999999999927</v>
      </c>
      <c r="Y132" s="2"/>
      <c r="Z132" s="6">
        <f t="shared" si="35"/>
        <v>2.3726187452374869E-2</v>
      </c>
    </row>
    <row r="133" spans="1:26" s="70" customFormat="1" ht="15" hidden="1" customHeight="1" outlineLevel="2" x14ac:dyDescent="0.25">
      <c r="A133" s="25"/>
      <c r="B133" s="12" t="str">
        <f>CONCATENATE("          ","6303"," - ","DATA PHONE LINES")</f>
        <v xml:space="preserve">          6303 - DATA PHONE LINES</v>
      </c>
      <c r="C133" s="12"/>
      <c r="D133" s="8"/>
      <c r="E133" s="3"/>
      <c r="F133" s="7">
        <f t="shared" si="28"/>
        <v>0</v>
      </c>
      <c r="G133" s="3"/>
      <c r="H133" s="8">
        <v>0</v>
      </c>
      <c r="I133" s="3"/>
      <c r="J133" s="7">
        <f t="shared" si="29"/>
        <v>0</v>
      </c>
      <c r="K133" s="3"/>
      <c r="L133" s="8">
        <f t="shared" si="30"/>
        <v>0</v>
      </c>
      <c r="M133" s="3"/>
      <c r="N133" s="7">
        <f t="shared" si="31"/>
        <v>0</v>
      </c>
      <c r="O133" s="12"/>
      <c r="P133" s="8">
        <v>295</v>
      </c>
      <c r="Q133" s="3"/>
      <c r="R133" s="7">
        <f t="shared" si="32"/>
        <v>3.9232312952207924E-5</v>
      </c>
      <c r="S133" s="3"/>
      <c r="T133" s="8">
        <v>0</v>
      </c>
      <c r="U133" s="3"/>
      <c r="V133" s="7">
        <f t="shared" si="33"/>
        <v>0</v>
      </c>
      <c r="W133" s="3"/>
      <c r="X133" s="8">
        <f t="shared" si="34"/>
        <v>295</v>
      </c>
      <c r="Y133" s="3"/>
      <c r="Z133" s="7">
        <f t="shared" si="35"/>
        <v>0</v>
      </c>
    </row>
    <row r="134" spans="1:26" s="70" customFormat="1" ht="15" hidden="1" customHeight="1" outlineLevel="2" x14ac:dyDescent="0.25">
      <c r="A134" s="25"/>
      <c r="B134" s="12" t="str">
        <f>CONCATENATE("          ","6309"," - ","TELEPHONE")</f>
        <v xml:space="preserve">          6309 - TELEPHONE</v>
      </c>
      <c r="C134" s="12"/>
      <c r="D134" s="8">
        <v>1654.19</v>
      </c>
      <c r="E134" s="3"/>
      <c r="F134" s="7">
        <f t="shared" si="28"/>
        <v>1.9287512059140335E-3</v>
      </c>
      <c r="G134" s="3"/>
      <c r="H134" s="8">
        <v>1735</v>
      </c>
      <c r="I134" s="3"/>
      <c r="J134" s="7">
        <f t="shared" si="29"/>
        <v>4.5607606349840572E-3</v>
      </c>
      <c r="K134" s="3"/>
      <c r="L134" s="8">
        <f t="shared" si="30"/>
        <v>-80.809999999999945</v>
      </c>
      <c r="M134" s="3"/>
      <c r="N134" s="7">
        <f t="shared" si="31"/>
        <v>-4.6576368876080659E-2</v>
      </c>
      <c r="O134" s="12"/>
      <c r="P134" s="8">
        <v>19857.05</v>
      </c>
      <c r="Q134" s="3"/>
      <c r="R134" s="7">
        <f t="shared" si="32"/>
        <v>2.6408067793479333E-3</v>
      </c>
      <c r="S134" s="3"/>
      <c r="T134" s="8">
        <v>19685</v>
      </c>
      <c r="U134" s="3"/>
      <c r="V134" s="7">
        <f t="shared" si="33"/>
        <v>2.2916336338475859E-3</v>
      </c>
      <c r="W134" s="3"/>
      <c r="X134" s="8">
        <f t="shared" si="34"/>
        <v>172.04999999999927</v>
      </c>
      <c r="Y134" s="3"/>
      <c r="Z134" s="7">
        <f t="shared" si="35"/>
        <v>8.7401574803149234E-3</v>
      </c>
    </row>
    <row r="135" spans="1:26" s="69" customFormat="1" ht="15" customHeight="1" outlineLevel="1" collapsed="1" x14ac:dyDescent="0.25">
      <c r="A135" s="26"/>
      <c r="B135" s="14" t="str">
        <f>CONCATENATE("     ","Training                                          ")</f>
        <v xml:space="preserve">     Training                                          </v>
      </c>
      <c r="C135" s="14"/>
      <c r="D135" s="2">
        <f>SUM(OSRRefD22_22x_0)</f>
        <v>5700</v>
      </c>
      <c r="E135" s="2"/>
      <c r="F135" s="6">
        <f t="shared" si="28"/>
        <v>6.6460816917705886E-3</v>
      </c>
      <c r="G135" s="2"/>
      <c r="H135" s="2">
        <f>SUM(OSRRefH22_22x_0)</f>
        <v>0</v>
      </c>
      <c r="I135" s="2"/>
      <c r="J135" s="6">
        <f t="shared" si="29"/>
        <v>0</v>
      </c>
      <c r="K135" s="2"/>
      <c r="L135" s="2">
        <f t="shared" si="30"/>
        <v>5700</v>
      </c>
      <c r="M135" s="2"/>
      <c r="N135" s="6">
        <f t="shared" si="31"/>
        <v>0</v>
      </c>
      <c r="O135" s="14"/>
      <c r="P135" s="2">
        <f>SUM(OSRRefP22_22x_0)</f>
        <v>6919</v>
      </c>
      <c r="Q135" s="2"/>
      <c r="R135" s="6">
        <f t="shared" si="32"/>
        <v>9.2016397734348012E-4</v>
      </c>
      <c r="S135" s="2"/>
      <c r="T135" s="2">
        <f>SUM(OSRRefT22_22x_0)</f>
        <v>2000</v>
      </c>
      <c r="U135" s="2"/>
      <c r="V135" s="6">
        <f t="shared" si="33"/>
        <v>2.3283044285980046E-4</v>
      </c>
      <c r="W135" s="2"/>
      <c r="X135" s="2">
        <f t="shared" si="34"/>
        <v>4919</v>
      </c>
      <c r="Y135" s="2"/>
      <c r="Z135" s="6">
        <f t="shared" si="35"/>
        <v>2.4594999999999998</v>
      </c>
    </row>
    <row r="136" spans="1:26" s="70" customFormat="1" ht="15" hidden="1" customHeight="1" outlineLevel="2" x14ac:dyDescent="0.25">
      <c r="A136" s="25"/>
      <c r="B136" s="12" t="str">
        <f>CONCATENATE("          ","6376"," - ","TRAINING")</f>
        <v xml:space="preserve">          6376 - TRAINING</v>
      </c>
      <c r="C136" s="12"/>
      <c r="D136" s="8">
        <v>5700</v>
      </c>
      <c r="E136" s="3"/>
      <c r="F136" s="7">
        <f t="shared" si="28"/>
        <v>6.6460816917705886E-3</v>
      </c>
      <c r="G136" s="3"/>
      <c r="H136" s="8">
        <v>0</v>
      </c>
      <c r="I136" s="3"/>
      <c r="J136" s="7">
        <f t="shared" si="29"/>
        <v>0</v>
      </c>
      <c r="K136" s="3"/>
      <c r="L136" s="8">
        <f t="shared" si="30"/>
        <v>5700</v>
      </c>
      <c r="M136" s="3"/>
      <c r="N136" s="7">
        <f t="shared" si="31"/>
        <v>0</v>
      </c>
      <c r="O136" s="12"/>
      <c r="P136" s="8">
        <v>6919</v>
      </c>
      <c r="Q136" s="3"/>
      <c r="R136" s="7">
        <f t="shared" si="32"/>
        <v>9.2016397734348012E-4</v>
      </c>
      <c r="S136" s="3"/>
      <c r="T136" s="8">
        <v>2000</v>
      </c>
      <c r="U136" s="3"/>
      <c r="V136" s="7">
        <f t="shared" si="33"/>
        <v>2.3283044285980046E-4</v>
      </c>
      <c r="W136" s="3"/>
      <c r="X136" s="8">
        <f t="shared" si="34"/>
        <v>4919</v>
      </c>
      <c r="Y136" s="3"/>
      <c r="Z136" s="7">
        <f t="shared" si="35"/>
        <v>2.4594999999999998</v>
      </c>
    </row>
    <row r="137" spans="1:26" s="69" customFormat="1" ht="15" customHeight="1" outlineLevel="1" collapsed="1" x14ac:dyDescent="0.25">
      <c r="A137" s="26"/>
      <c r="B137" s="14" t="str">
        <f>CONCATENATE("     ","Travel                                            ")</f>
        <v xml:space="preserve">     Travel                                            </v>
      </c>
      <c r="C137" s="14"/>
      <c r="D137" s="2">
        <f>SUM(OSRRefD22_23x_0)</f>
        <v>320.27</v>
      </c>
      <c r="E137" s="2"/>
      <c r="F137" s="6">
        <f t="shared" si="28"/>
        <v>3.7342817253041517E-4</v>
      </c>
      <c r="G137" s="2"/>
      <c r="H137" s="2">
        <f>SUM(OSRRefH22_23x_0)</f>
        <v>175</v>
      </c>
      <c r="I137" s="2"/>
      <c r="J137" s="6">
        <f t="shared" si="29"/>
        <v>4.6001908422029392E-4</v>
      </c>
      <c r="K137" s="2"/>
      <c r="L137" s="2">
        <f t="shared" si="30"/>
        <v>145.26999999999998</v>
      </c>
      <c r="M137" s="2"/>
      <c r="N137" s="6">
        <f t="shared" si="31"/>
        <v>0.83011428571428558</v>
      </c>
      <c r="O137" s="14"/>
      <c r="P137" s="2">
        <f>SUM(OSRRefP22_23x_0)</f>
        <v>1605.25</v>
      </c>
      <c r="Q137" s="2"/>
      <c r="R137" s="6">
        <f t="shared" si="32"/>
        <v>2.1348362836112465E-4</v>
      </c>
      <c r="S137" s="2"/>
      <c r="T137" s="2">
        <f>SUM(OSRRefT22_23x_0)</f>
        <v>2175</v>
      </c>
      <c r="U137" s="2"/>
      <c r="V137" s="6">
        <f t="shared" si="33"/>
        <v>2.53203106610033E-4</v>
      </c>
      <c r="W137" s="2"/>
      <c r="X137" s="2">
        <f t="shared" si="34"/>
        <v>-569.75</v>
      </c>
      <c r="Y137" s="2"/>
      <c r="Z137" s="6">
        <f t="shared" si="35"/>
        <v>-0.26195402298850573</v>
      </c>
    </row>
    <row r="138" spans="1:26" s="70" customFormat="1" ht="15" hidden="1" customHeight="1" outlineLevel="2" x14ac:dyDescent="0.25">
      <c r="A138" s="25"/>
      <c r="B138" s="12" t="str">
        <f>CONCATENATE("          ","6292"," - ","TRAVEL/CONFERENCE")</f>
        <v xml:space="preserve">          6292 - TRAVEL/CONFERENCE</v>
      </c>
      <c r="C138" s="12"/>
      <c r="D138" s="8"/>
      <c r="E138" s="3"/>
      <c r="F138" s="7">
        <f t="shared" si="28"/>
        <v>0</v>
      </c>
      <c r="G138" s="3"/>
      <c r="H138" s="8">
        <v>125</v>
      </c>
      <c r="I138" s="3"/>
      <c r="J138" s="7">
        <f t="shared" si="29"/>
        <v>3.2858506015735284E-4</v>
      </c>
      <c r="K138" s="3"/>
      <c r="L138" s="8">
        <f t="shared" si="30"/>
        <v>-125</v>
      </c>
      <c r="M138" s="3"/>
      <c r="N138" s="7">
        <f t="shared" si="31"/>
        <v>-1</v>
      </c>
      <c r="O138" s="12"/>
      <c r="P138" s="8">
        <v>495</v>
      </c>
      <c r="Q138" s="3"/>
      <c r="R138" s="7">
        <f t="shared" si="32"/>
        <v>6.583049122489126E-5</v>
      </c>
      <c r="S138" s="3"/>
      <c r="T138" s="8">
        <v>1375</v>
      </c>
      <c r="U138" s="3"/>
      <c r="V138" s="7">
        <f t="shared" si="33"/>
        <v>1.600709294661128E-4</v>
      </c>
      <c r="W138" s="3"/>
      <c r="X138" s="8">
        <f t="shared" si="34"/>
        <v>-880</v>
      </c>
      <c r="Y138" s="3"/>
      <c r="Z138" s="7">
        <f t="shared" si="35"/>
        <v>-0.64</v>
      </c>
    </row>
    <row r="139" spans="1:26" s="70" customFormat="1" ht="15" hidden="1" customHeight="1" outlineLevel="2" x14ac:dyDescent="0.25">
      <c r="A139" s="25"/>
      <c r="B139" s="12" t="str">
        <f>CONCATENATE("          ","6294"," - ","TRAVEL OPERATIONAL")</f>
        <v xml:space="preserve">          6294 - TRAVEL OPERATIONAL</v>
      </c>
      <c r="C139" s="12"/>
      <c r="D139" s="8">
        <v>207.39</v>
      </c>
      <c r="E139" s="3"/>
      <c r="F139" s="7">
        <f t="shared" si="28"/>
        <v>2.4181243544847409E-4</v>
      </c>
      <c r="G139" s="3"/>
      <c r="H139" s="8">
        <v>25</v>
      </c>
      <c r="I139" s="3"/>
      <c r="J139" s="7">
        <f t="shared" si="29"/>
        <v>6.5717012031470568E-5</v>
      </c>
      <c r="K139" s="3"/>
      <c r="L139" s="8">
        <f t="shared" si="30"/>
        <v>182.39</v>
      </c>
      <c r="M139" s="3"/>
      <c r="N139" s="7">
        <f t="shared" si="31"/>
        <v>7.2955999999999994</v>
      </c>
      <c r="O139" s="12"/>
      <c r="P139" s="8">
        <v>610.87</v>
      </c>
      <c r="Q139" s="3"/>
      <c r="R139" s="7">
        <f t="shared" si="32"/>
        <v>8.1240145807170362E-5</v>
      </c>
      <c r="S139" s="3"/>
      <c r="T139" s="8">
        <v>275</v>
      </c>
      <c r="U139" s="3"/>
      <c r="V139" s="7">
        <f t="shared" si="33"/>
        <v>3.2014185893222563E-5</v>
      </c>
      <c r="W139" s="3"/>
      <c r="X139" s="8">
        <f t="shared" si="34"/>
        <v>335.87</v>
      </c>
      <c r="Y139" s="3"/>
      <c r="Z139" s="7">
        <f t="shared" si="35"/>
        <v>1.2213454545454545</v>
      </c>
    </row>
    <row r="140" spans="1:26" s="70" customFormat="1" ht="15" hidden="1" customHeight="1" outlineLevel="2" x14ac:dyDescent="0.25">
      <c r="A140" s="25"/>
      <c r="B140" s="12" t="str">
        <f>CONCATENATE("          ","6298"," - ","VEHICLE MILEAGE")</f>
        <v xml:space="preserve">          6298 - VEHICLE MILEAGE</v>
      </c>
      <c r="C140" s="12"/>
      <c r="D140" s="8">
        <v>112.88</v>
      </c>
      <c r="E140" s="3"/>
      <c r="F140" s="7">
        <f t="shared" si="28"/>
        <v>1.3161573708194105E-4</v>
      </c>
      <c r="G140" s="3"/>
      <c r="H140" s="8">
        <v>25</v>
      </c>
      <c r="I140" s="3"/>
      <c r="J140" s="7">
        <f t="shared" si="29"/>
        <v>6.5717012031470568E-5</v>
      </c>
      <c r="K140" s="3"/>
      <c r="L140" s="8">
        <f t="shared" si="30"/>
        <v>87.88</v>
      </c>
      <c r="M140" s="3"/>
      <c r="N140" s="7">
        <f t="shared" si="31"/>
        <v>3.5151999999999997</v>
      </c>
      <c r="O140" s="12"/>
      <c r="P140" s="8">
        <v>499.38</v>
      </c>
      <c r="Q140" s="3"/>
      <c r="R140" s="7">
        <f t="shared" si="32"/>
        <v>6.6412991329063028E-5</v>
      </c>
      <c r="S140" s="3"/>
      <c r="T140" s="8">
        <v>525</v>
      </c>
      <c r="U140" s="3"/>
      <c r="V140" s="7">
        <f t="shared" si="33"/>
        <v>6.1117991250697617E-5</v>
      </c>
      <c r="W140" s="3"/>
      <c r="X140" s="8">
        <f t="shared" si="34"/>
        <v>-25.620000000000005</v>
      </c>
      <c r="Y140" s="3"/>
      <c r="Z140" s="7">
        <f t="shared" si="35"/>
        <v>-4.880000000000001E-2</v>
      </c>
    </row>
    <row r="141" spans="1:26" s="69" customFormat="1" ht="15" customHeight="1" outlineLevel="1" collapsed="1" x14ac:dyDescent="0.25">
      <c r="A141" s="26"/>
      <c r="B141" s="14" t="str">
        <f>CONCATENATE("     ","Utilities                                         ")</f>
        <v xml:space="preserve">     Utilities                                         </v>
      </c>
      <c r="C141" s="14"/>
      <c r="D141" s="2">
        <f>SUM(OSRRefD22_24x_0)</f>
        <v>29715.67</v>
      </c>
      <c r="E141" s="2"/>
      <c r="F141" s="6">
        <f t="shared" si="28"/>
        <v>3.4647854446613426E-2</v>
      </c>
      <c r="G141" s="2"/>
      <c r="H141" s="2">
        <f>SUM(OSRRefH22_24x_0)</f>
        <v>6120</v>
      </c>
      <c r="I141" s="2"/>
      <c r="J141" s="6">
        <f t="shared" si="29"/>
        <v>1.6087524545303995E-2</v>
      </c>
      <c r="K141" s="2"/>
      <c r="L141" s="2">
        <f t="shared" si="30"/>
        <v>23595.67</v>
      </c>
      <c r="M141" s="2"/>
      <c r="N141" s="6">
        <f t="shared" si="31"/>
        <v>3.8555016339869277</v>
      </c>
      <c r="O141" s="14"/>
      <c r="P141" s="2">
        <f>SUM(OSRRefP22_24x_0)</f>
        <v>85002.89</v>
      </c>
      <c r="Q141" s="2"/>
      <c r="R141" s="6">
        <f t="shared" si="32"/>
        <v>1.130461010956646E-2</v>
      </c>
      <c r="S141" s="2"/>
      <c r="T141" s="2">
        <f>SUM(OSRRefT22_24x_0)</f>
        <v>70000</v>
      </c>
      <c r="U141" s="2"/>
      <c r="V141" s="6">
        <f t="shared" si="33"/>
        <v>8.1490655000930161E-3</v>
      </c>
      <c r="W141" s="2"/>
      <c r="X141" s="2">
        <f t="shared" si="34"/>
        <v>15002.89</v>
      </c>
      <c r="Y141" s="2"/>
      <c r="Z141" s="6">
        <f t="shared" si="35"/>
        <v>0.21432699999999999</v>
      </c>
    </row>
    <row r="142" spans="1:26" s="70" customFormat="1" ht="15" hidden="1" customHeight="1" outlineLevel="2" x14ac:dyDescent="0.25">
      <c r="A142" s="25"/>
      <c r="B142" s="12" t="str">
        <f>CONCATENATE("          ","6274"," - ","UTILITIES")</f>
        <v xml:space="preserve">          6274 - UTILITIES</v>
      </c>
      <c r="C142" s="12"/>
      <c r="D142" s="8">
        <v>29715.67</v>
      </c>
      <c r="E142" s="3"/>
      <c r="F142" s="7">
        <f t="shared" si="28"/>
        <v>3.4647854446613426E-2</v>
      </c>
      <c r="G142" s="3"/>
      <c r="H142" s="8">
        <v>6120</v>
      </c>
      <c r="I142" s="3"/>
      <c r="J142" s="7">
        <f t="shared" si="29"/>
        <v>1.6087524545303995E-2</v>
      </c>
      <c r="K142" s="3"/>
      <c r="L142" s="8">
        <f t="shared" si="30"/>
        <v>23595.67</v>
      </c>
      <c r="M142" s="3"/>
      <c r="N142" s="7">
        <f t="shared" si="31"/>
        <v>3.8555016339869277</v>
      </c>
      <c r="O142" s="12"/>
      <c r="P142" s="8">
        <v>85002.89</v>
      </c>
      <c r="Q142" s="3"/>
      <c r="R142" s="7">
        <f t="shared" si="32"/>
        <v>1.130461010956646E-2</v>
      </c>
      <c r="S142" s="3"/>
      <c r="T142" s="8">
        <v>70000</v>
      </c>
      <c r="U142" s="3"/>
      <c r="V142" s="7">
        <f t="shared" si="33"/>
        <v>8.1490655000930161E-3</v>
      </c>
      <c r="W142" s="3"/>
      <c r="X142" s="8">
        <f t="shared" si="34"/>
        <v>15002.89</v>
      </c>
      <c r="Y142" s="3"/>
      <c r="Z142" s="7">
        <f t="shared" si="35"/>
        <v>0.21432699999999999</v>
      </c>
    </row>
    <row r="143" spans="1:26" s="65" customFormat="1" ht="15" customHeight="1" x14ac:dyDescent="0.25">
      <c r="A143" s="35"/>
      <c r="B143" s="35"/>
      <c r="C143" s="35"/>
      <c r="D143" s="2"/>
      <c r="E143" s="2"/>
      <c r="F143" s="6"/>
      <c r="G143" s="2"/>
      <c r="H143" s="2"/>
      <c r="I143" s="2"/>
      <c r="J143" s="6"/>
      <c r="K143" s="2"/>
      <c r="L143" s="2"/>
      <c r="M143" s="2"/>
      <c r="N143" s="6"/>
      <c r="O143" s="35"/>
      <c r="P143" s="2"/>
      <c r="Q143" s="2"/>
      <c r="R143" s="6"/>
      <c r="S143" s="2"/>
      <c r="T143" s="2"/>
      <c r="U143" s="2"/>
      <c r="V143" s="6"/>
      <c r="W143" s="2"/>
      <c r="X143" s="2"/>
      <c r="Y143" s="2"/>
      <c r="Z143" s="6"/>
    </row>
    <row r="144" spans="1:26" s="63" customFormat="1" ht="15" customHeight="1" collapsed="1" x14ac:dyDescent="0.25">
      <c r="A144" s="11"/>
      <c r="B144" s="27" t="s">
        <v>291</v>
      </c>
      <c r="C144" s="11"/>
      <c r="D144" s="5">
        <f>SUM(OSRRefD25x_0)</f>
        <v>440339.5</v>
      </c>
      <c r="E144" s="5"/>
      <c r="F144" s="13">
        <f t="shared" ref="F144:F149" si="36">IF(D$12=0,0,D144/D$12)</f>
        <v>0.51342671738831847</v>
      </c>
      <c r="G144" s="5"/>
      <c r="H144" s="5">
        <f>SUM(OSRRefH25x_0)</f>
        <v>302754</v>
      </c>
      <c r="I144" s="5"/>
      <c r="J144" s="13">
        <f t="shared" ref="J144:J149" si="37">IF(H$12=0,0,H144/H$12)</f>
        <v>0.79584353042303357</v>
      </c>
      <c r="K144" s="5"/>
      <c r="L144" s="5">
        <f t="shared" ref="L144:L149" si="38">+D144-H144</f>
        <v>137585.5</v>
      </c>
      <c r="M144" s="5"/>
      <c r="N144" s="13">
        <f t="shared" ref="N144:N149" si="39">IF(H144=0,0,L144/H144)</f>
        <v>0.45444651433176769</v>
      </c>
      <c r="O144" s="11"/>
      <c r="P144" s="5">
        <f>SUM(OSRRefP25x_0)</f>
        <v>1406300.6099999999</v>
      </c>
      <c r="Q144" s="5"/>
      <c r="R144" s="13">
        <f t="shared" ref="R144:R149" si="40">IF(P$12=0,0,P144/P$12)</f>
        <v>0.18702517164881663</v>
      </c>
      <c r="S144" s="5"/>
      <c r="T144" s="5">
        <f>SUM(OSRRefT25x_0)</f>
        <v>1040052.23</v>
      </c>
      <c r="U144" s="5"/>
      <c r="V144" s="13">
        <f t="shared" ref="V144:V149" si="41">IF(T$12=0,0,T144/T$12)</f>
        <v>0.12107791065411151</v>
      </c>
      <c r="W144" s="5"/>
      <c r="X144" s="5">
        <f t="shared" ref="X144:X149" si="42">+P144-T144</f>
        <v>366248.37999999989</v>
      </c>
      <c r="Y144" s="5"/>
      <c r="Z144" s="13">
        <f t="shared" ref="Z144:Z149" si="43">IF(T144=0,0,X144/T144)</f>
        <v>0.3521442187571675</v>
      </c>
    </row>
    <row r="145" spans="1:26" s="70" customFormat="1" ht="15" hidden="1" customHeight="1" outlineLevel="1" x14ac:dyDescent="0.25">
      <c r="A145" s="42"/>
      <c r="B145" s="12" t="str">
        <f>CONCATENATE("          ","9150"," - ","MISC. INCOME")</f>
        <v xml:space="preserve">          9150 - MISC. INCOME</v>
      </c>
      <c r="C145" s="12"/>
      <c r="D145" s="3">
        <f>--53704.78</f>
        <v>53704.78</v>
      </c>
      <c r="E145" s="3"/>
      <c r="F145" s="20">
        <f t="shared" si="36"/>
        <v>6.2618658792731097E-2</v>
      </c>
      <c r="G145" s="3"/>
      <c r="H145" s="3">
        <v>9754</v>
      </c>
      <c r="I145" s="3"/>
      <c r="J145" s="20">
        <f t="shared" si="37"/>
        <v>2.5640149414198555E-2</v>
      </c>
      <c r="K145" s="3"/>
      <c r="L145" s="3">
        <f t="shared" si="38"/>
        <v>43950.78</v>
      </c>
      <c r="M145" s="3"/>
      <c r="N145" s="20">
        <f t="shared" si="39"/>
        <v>4.5059237236005742</v>
      </c>
      <c r="O145" s="12"/>
      <c r="P145" s="3">
        <f>--435196.06</f>
        <v>435196.06</v>
      </c>
      <c r="Q145" s="3"/>
      <c r="R145" s="20">
        <f t="shared" si="40"/>
        <v>5.7877111937246976E-2</v>
      </c>
      <c r="S145" s="3"/>
      <c r="T145" s="3">
        <v>173524</v>
      </c>
      <c r="U145" s="3"/>
      <c r="V145" s="20">
        <f t="shared" si="41"/>
        <v>2.0200834883402005E-2</v>
      </c>
      <c r="W145" s="3"/>
      <c r="X145" s="3">
        <f t="shared" si="42"/>
        <v>261672.06</v>
      </c>
      <c r="Y145" s="3"/>
      <c r="Z145" s="20">
        <f t="shared" si="43"/>
        <v>1.5079877135151334</v>
      </c>
    </row>
    <row r="146" spans="1:26" s="70" customFormat="1" ht="15" hidden="1" customHeight="1" outlineLevel="1" x14ac:dyDescent="0.25">
      <c r="A146" s="42"/>
      <c r="B146" s="12" t="str">
        <f>CONCATENATE("          ","9151"," - ","MISC. INCOME")</f>
        <v xml:space="preserve">          9151 - MISC. INCOME</v>
      </c>
      <c r="C146" s="12"/>
      <c r="D146" s="3">
        <f>--626.04</f>
        <v>626.04</v>
      </c>
      <c r="E146" s="3"/>
      <c r="F146" s="20">
        <f t="shared" si="36"/>
        <v>7.2994964602036126E-4</v>
      </c>
      <c r="G146" s="3"/>
      <c r="H146" s="3">
        <v>293000</v>
      </c>
      <c r="I146" s="3"/>
      <c r="J146" s="20">
        <f t="shared" si="37"/>
        <v>0.77020338100883501</v>
      </c>
      <c r="K146" s="3"/>
      <c r="L146" s="3">
        <f t="shared" si="38"/>
        <v>-292373.96000000002</v>
      </c>
      <c r="M146" s="3"/>
      <c r="N146" s="20">
        <f t="shared" si="39"/>
        <v>-0.99786334470989768</v>
      </c>
      <c r="O146" s="12"/>
      <c r="P146" s="3">
        <f>--324387.74</f>
        <v>324387.74</v>
      </c>
      <c r="Q146" s="3"/>
      <c r="R146" s="20">
        <f t="shared" si="40"/>
        <v>4.314061468996426E-2</v>
      </c>
      <c r="S146" s="3"/>
      <c r="T146" s="3">
        <v>749862.23</v>
      </c>
      <c r="U146" s="3"/>
      <c r="V146" s="20">
        <f t="shared" si="41"/>
        <v>8.7295377547368769E-2</v>
      </c>
      <c r="W146" s="3"/>
      <c r="X146" s="3">
        <f t="shared" si="42"/>
        <v>-425474.49</v>
      </c>
      <c r="Y146" s="3"/>
      <c r="Z146" s="20">
        <f t="shared" si="43"/>
        <v>-0.56740354824912309</v>
      </c>
    </row>
    <row r="147" spans="1:26" s="70" customFormat="1" ht="15" hidden="1" customHeight="1" outlineLevel="1" x14ac:dyDescent="0.25">
      <c r="A147" s="42"/>
      <c r="B147" s="12" t="str">
        <f>CONCATENATE("          ","9152"," - ","MISC. INCOME")</f>
        <v xml:space="preserve">          9152 - MISC. INCOME</v>
      </c>
      <c r="C147" s="12"/>
      <c r="D147" s="3">
        <f>--1358.68</f>
        <v>1358.68</v>
      </c>
      <c r="E147" s="3"/>
      <c r="F147" s="20">
        <f t="shared" si="36"/>
        <v>1.5841926794692744E-3</v>
      </c>
      <c r="G147" s="3"/>
      <c r="H147" s="3"/>
      <c r="I147" s="3"/>
      <c r="J147" s="20">
        <f t="shared" si="37"/>
        <v>0</v>
      </c>
      <c r="K147" s="3"/>
      <c r="L147" s="3">
        <f t="shared" si="38"/>
        <v>1358.68</v>
      </c>
      <c r="M147" s="3"/>
      <c r="N147" s="20">
        <f t="shared" si="39"/>
        <v>0</v>
      </c>
      <c r="O147" s="12"/>
      <c r="P147" s="3">
        <f>--5247.11</f>
        <v>5247.11</v>
      </c>
      <c r="Q147" s="3"/>
      <c r="R147" s="20">
        <f t="shared" si="40"/>
        <v>6.978178359818973E-4</v>
      </c>
      <c r="S147" s="3"/>
      <c r="T147" s="3"/>
      <c r="U147" s="3"/>
      <c r="V147" s="20">
        <f t="shared" si="41"/>
        <v>0</v>
      </c>
      <c r="W147" s="3"/>
      <c r="X147" s="3">
        <f t="shared" si="42"/>
        <v>5247.11</v>
      </c>
      <c r="Y147" s="3"/>
      <c r="Z147" s="20">
        <f t="shared" si="43"/>
        <v>0</v>
      </c>
    </row>
    <row r="148" spans="1:26" s="70" customFormat="1" ht="15" hidden="1" customHeight="1" outlineLevel="1" x14ac:dyDescent="0.25">
      <c r="A148" s="42"/>
      <c r="B148" s="12" t="str">
        <f>CONCATENATE("          ","9160"," - ","MISC. INCOME")</f>
        <v xml:space="preserve">          9160 - MISC. INCOME</v>
      </c>
      <c r="C148" s="12"/>
      <c r="D148" s="3">
        <f>0</f>
        <v>0</v>
      </c>
      <c r="E148" s="3"/>
      <c r="F148" s="20">
        <f t="shared" si="36"/>
        <v>0</v>
      </c>
      <c r="G148" s="3"/>
      <c r="H148" s="3">
        <v>0</v>
      </c>
      <c r="I148" s="3"/>
      <c r="J148" s="20">
        <f t="shared" si="37"/>
        <v>0</v>
      </c>
      <c r="K148" s="3"/>
      <c r="L148" s="3">
        <f t="shared" si="38"/>
        <v>0</v>
      </c>
      <c r="M148" s="3"/>
      <c r="N148" s="20">
        <f t="shared" si="39"/>
        <v>0</v>
      </c>
      <c r="O148" s="12"/>
      <c r="P148" s="3">
        <f>0</f>
        <v>0</v>
      </c>
      <c r="Q148" s="3"/>
      <c r="R148" s="20">
        <f t="shared" si="40"/>
        <v>0</v>
      </c>
      <c r="S148" s="3"/>
      <c r="T148" s="3">
        <v>116666</v>
      </c>
      <c r="U148" s="3"/>
      <c r="V148" s="20">
        <f t="shared" si="41"/>
        <v>1.358169822334074E-2</v>
      </c>
      <c r="W148" s="3"/>
      <c r="X148" s="3">
        <f t="shared" si="42"/>
        <v>-116666</v>
      </c>
      <c r="Y148" s="3"/>
      <c r="Z148" s="20">
        <f t="shared" si="43"/>
        <v>-1</v>
      </c>
    </row>
    <row r="149" spans="1:26" s="70" customFormat="1" ht="15" hidden="1" customHeight="1" outlineLevel="1" x14ac:dyDescent="0.25">
      <c r="A149" s="42"/>
      <c r="B149" s="12" t="str">
        <f>CONCATENATE("          ","9163"," - ","MISC. INCOME")</f>
        <v xml:space="preserve">          9163 - MISC. INCOME</v>
      </c>
      <c r="C149" s="12"/>
      <c r="D149" s="3">
        <f>--384650</f>
        <v>384650</v>
      </c>
      <c r="E149" s="3"/>
      <c r="F149" s="20">
        <f t="shared" si="36"/>
        <v>0.44849391627009771</v>
      </c>
      <c r="G149" s="3"/>
      <c r="H149" s="3"/>
      <c r="I149" s="3"/>
      <c r="J149" s="20">
        <f t="shared" si="37"/>
        <v>0</v>
      </c>
      <c r="K149" s="3"/>
      <c r="L149" s="3">
        <f t="shared" si="38"/>
        <v>384650</v>
      </c>
      <c r="M149" s="3"/>
      <c r="N149" s="20">
        <f t="shared" si="39"/>
        <v>0</v>
      </c>
      <c r="O149" s="12"/>
      <c r="P149" s="3">
        <f>--641469.7</f>
        <v>641469.69999999995</v>
      </c>
      <c r="Q149" s="3"/>
      <c r="R149" s="20">
        <f t="shared" si="40"/>
        <v>8.5309627185623488E-2</v>
      </c>
      <c r="S149" s="3"/>
      <c r="T149" s="3"/>
      <c r="U149" s="3"/>
      <c r="V149" s="20">
        <f t="shared" si="41"/>
        <v>0</v>
      </c>
      <c r="W149" s="3"/>
      <c r="X149" s="3">
        <f t="shared" si="42"/>
        <v>641469.69999999995</v>
      </c>
      <c r="Y149" s="3"/>
      <c r="Z149" s="20">
        <f t="shared" si="43"/>
        <v>0</v>
      </c>
    </row>
    <row r="150" spans="1:26" ht="15" customHeight="1" x14ac:dyDescent="0.25">
      <c r="A150" s="10"/>
      <c r="B150" s="11"/>
      <c r="C150" s="11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O150" s="11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3" customFormat="1" ht="15" customHeight="1" x14ac:dyDescent="0.25">
      <c r="A151" s="11"/>
      <c r="B151" s="28" t="s">
        <v>292</v>
      </c>
      <c r="C151" s="28"/>
      <c r="D151" s="22">
        <f>+D50-D52+D144</f>
        <v>598943.67999999993</v>
      </c>
      <c r="E151" s="15"/>
      <c r="F151" s="21">
        <f>IF(D$12=0,0,D151/D$12)</f>
        <v>0.69835589930696518</v>
      </c>
      <c r="G151" s="15"/>
      <c r="H151" s="22">
        <f>+H50-H52+H144</f>
        <v>219904.19896724494</v>
      </c>
      <c r="I151" s="15"/>
      <c r="J151" s="21">
        <f>IF(H$12=0,0,H151/H$12)</f>
        <v>0.57805787557205335</v>
      </c>
      <c r="K151" s="16"/>
      <c r="L151" s="22">
        <f>+D151-H151</f>
        <v>379039.48103275499</v>
      </c>
      <c r="M151" s="16"/>
      <c r="N151" s="21">
        <f>IF(H151=0,0,L151/H151)</f>
        <v>1.723657314470896</v>
      </c>
      <c r="O151" s="27"/>
      <c r="P151" s="22">
        <f>+P50-P52+P144</f>
        <v>1314124.0400000005</v>
      </c>
      <c r="Q151" s="15"/>
      <c r="R151" s="21">
        <f>IF(P$12=0,0,P151/P$12)</f>
        <v>0.17476652744169432</v>
      </c>
      <c r="S151" s="15"/>
      <c r="T151" s="22">
        <f>+T50-T52+T144</f>
        <v>757921.51587809576</v>
      </c>
      <c r="U151" s="15"/>
      <c r="V151" s="21">
        <f>IF(T$12=0,0,T151/T$12)</f>
        <v>8.8233601097434153E-2</v>
      </c>
      <c r="W151" s="16"/>
      <c r="X151" s="22">
        <f>+P151-T151</f>
        <v>556202.52412190475</v>
      </c>
      <c r="Y151" s="16"/>
      <c r="Z151" s="21">
        <f>IF(T151=0,0,X151/T151)</f>
        <v>0.73385240090131509</v>
      </c>
    </row>
    <row r="152" spans="1:26" ht="15" customHeight="1" x14ac:dyDescent="0.25">
      <c r="A152" s="10"/>
      <c r="B152" s="11"/>
      <c r="C152" s="10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s="63" customFormat="1" ht="15" customHeight="1" x14ac:dyDescent="0.25">
      <c r="A153" s="49"/>
      <c r="B153" s="11" t="s">
        <v>293</v>
      </c>
      <c r="C153" s="11"/>
      <c r="D153" s="5">
        <v>90702.2</v>
      </c>
      <c r="E153" s="5"/>
      <c r="F153" s="13">
        <f>IF(D$12=0,0,D153/D$12)</f>
        <v>0.10575688260058146</v>
      </c>
      <c r="G153" s="5"/>
      <c r="H153" s="5">
        <v>54939</v>
      </c>
      <c r="I153" s="5"/>
      <c r="J153" s="13">
        <f>IF(H$12=0,0,H153/H$12)</f>
        <v>0.14441707695987846</v>
      </c>
      <c r="K153" s="5"/>
      <c r="L153" s="5">
        <f>+D153-H153</f>
        <v>35763.199999999997</v>
      </c>
      <c r="M153" s="5"/>
      <c r="N153" s="13">
        <f>IF(H153=0,0,L153/H153)</f>
        <v>0.65096197600975625</v>
      </c>
      <c r="O153" s="11"/>
      <c r="P153" s="5">
        <v>845361.31</v>
      </c>
      <c r="Q153" s="5"/>
      <c r="R153" s="13">
        <f>IF(P$12=0,0,P153/P$12)</f>
        <v>0.11242535414104564</v>
      </c>
      <c r="S153" s="5"/>
      <c r="T153" s="5">
        <v>1064830</v>
      </c>
      <c r="U153" s="5"/>
      <c r="V153" s="13">
        <f>IF(T$12=0,0,T153/T$12)</f>
        <v>0.12396242023520065</v>
      </c>
      <c r="W153" s="5"/>
      <c r="X153" s="5">
        <f>+P153-T153</f>
        <v>-219468.68999999994</v>
      </c>
      <c r="Y153" s="5"/>
      <c r="Z153" s="13">
        <f>IF(T153=0,0,X153/T153)</f>
        <v>-0.20610678699886362</v>
      </c>
    </row>
    <row r="154" spans="1:26" ht="15" customHeight="1" x14ac:dyDescent="0.25">
      <c r="A154" s="10"/>
      <c r="B154" s="11"/>
      <c r="C154" s="11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O154" s="11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s="63" customFormat="1" ht="15" customHeight="1" x14ac:dyDescent="0.25">
      <c r="A155" s="11"/>
      <c r="B155" s="28" t="s">
        <v>294</v>
      </c>
      <c r="C155" s="28"/>
      <c r="D155" s="34">
        <f>+D151-D153</f>
        <v>508241.47999999992</v>
      </c>
      <c r="E155" s="15"/>
      <c r="F155" s="32">
        <f>IF(D$12=0,0,D155/D$12)</f>
        <v>0.59259901670638371</v>
      </c>
      <c r="G155" s="15"/>
      <c r="H155" s="34">
        <f>+H151-H153</f>
        <v>164965.19896724494</v>
      </c>
      <c r="I155" s="15"/>
      <c r="J155" s="32">
        <f>IF(H$12=0,0,H155/H$12)</f>
        <v>0.43364079861217486</v>
      </c>
      <c r="K155" s="16"/>
      <c r="L155" s="34">
        <f>D155-H155</f>
        <v>343276.28103275498</v>
      </c>
      <c r="M155" s="16"/>
      <c r="N155" s="32">
        <f>IF(H155=0,0,L155/H155)</f>
        <v>2.0809012032950962</v>
      </c>
      <c r="O155" s="27"/>
      <c r="P155" s="34">
        <f>+P151-P153</f>
        <v>468762.73000000045</v>
      </c>
      <c r="Q155" s="15"/>
      <c r="R155" s="32">
        <f>IF(P$12=0,0,P155/P$12)</f>
        <v>6.2341173300648693E-2</v>
      </c>
      <c r="S155" s="15"/>
      <c r="T155" s="34">
        <f>+T151-T153</f>
        <v>-306908.48412190424</v>
      </c>
      <c r="U155" s="15"/>
      <c r="V155" s="32">
        <f>IF(T$12=0,0,T155/T$12)</f>
        <v>-3.5728819137766502E-2</v>
      </c>
      <c r="W155" s="16"/>
      <c r="X155" s="34">
        <f>P155-T155</f>
        <v>775671.21412190469</v>
      </c>
      <c r="Y155" s="16"/>
      <c r="Z155" s="32">
        <f>IF(T155=0,0,X155/T155)</f>
        <v>-2.5273697347962774</v>
      </c>
    </row>
    <row r="156" spans="1:26" ht="15" customHeight="1" x14ac:dyDescent="0.25">
      <c r="A156" s="10"/>
      <c r="B156" s="10"/>
      <c r="C156" s="10"/>
      <c r="D156" s="4"/>
      <c r="E156" s="4"/>
      <c r="F156" s="9"/>
      <c r="G156" s="4"/>
      <c r="H156" s="4"/>
      <c r="I156" s="4"/>
      <c r="J156" s="9"/>
      <c r="K156" s="4"/>
      <c r="L156" s="4"/>
      <c r="M156" s="4"/>
      <c r="N156" s="9"/>
      <c r="P156" s="4"/>
      <c r="Q156" s="4"/>
      <c r="R156" s="9"/>
      <c r="S156" s="4"/>
      <c r="T156" s="4"/>
      <c r="U156" s="4"/>
      <c r="V156" s="9"/>
      <c r="W156" s="4"/>
      <c r="X156" s="4"/>
      <c r="Y156" s="4"/>
      <c r="Z156" s="9"/>
    </row>
    <row r="157" spans="1:26" ht="15" customHeight="1" x14ac:dyDescent="0.25">
      <c r="A157" s="10"/>
      <c r="B157" s="10"/>
      <c r="C157" s="10"/>
      <c r="D157" s="4"/>
      <c r="E157" s="4"/>
      <c r="F157" s="9"/>
      <c r="G157" s="4"/>
      <c r="H157" s="4"/>
      <c r="I157" s="4"/>
      <c r="J157" s="9"/>
      <c r="K157" s="4"/>
      <c r="L157" s="4"/>
      <c r="M157" s="4"/>
      <c r="N157" s="9"/>
      <c r="P157" s="4"/>
      <c r="Q157" s="4"/>
      <c r="R157" s="9"/>
      <c r="S157" s="4"/>
      <c r="T157" s="4"/>
      <c r="U157" s="4"/>
      <c r="V157" s="9"/>
      <c r="W157" s="4"/>
      <c r="X157" s="4"/>
      <c r="Y157" s="4"/>
      <c r="Z157" s="9"/>
    </row>
    <row r="158" spans="1:26" s="63" customFormat="1" ht="15" customHeight="1" x14ac:dyDescent="0.25">
      <c r="A158" s="11"/>
      <c r="B158" s="28" t="s">
        <v>297</v>
      </c>
      <c r="C158" s="28"/>
      <c r="D158" s="30">
        <f>SUM(D155:D157)</f>
        <v>508241.47999999992</v>
      </c>
      <c r="E158" s="15"/>
      <c r="F158" s="33">
        <f>IF(D$12=0,0,D158/D$12)</f>
        <v>0.59259901670638371</v>
      </c>
      <c r="G158" s="15"/>
      <c r="H158" s="30">
        <f>SUM(H155:H157)</f>
        <v>164965.19896724494</v>
      </c>
      <c r="I158" s="15"/>
      <c r="J158" s="33">
        <f>IF(H$12=0,0,H158/H$12)</f>
        <v>0.43364079861217486</v>
      </c>
      <c r="K158" s="16"/>
      <c r="L158" s="30">
        <f>+D158-H158</f>
        <v>343276.28103275498</v>
      </c>
      <c r="M158" s="16"/>
      <c r="N158" s="33">
        <f>IF(H158=0,0,L158/H158)</f>
        <v>2.0809012032950962</v>
      </c>
      <c r="O158" s="27"/>
      <c r="P158" s="30">
        <f>SUM(P155:P157)</f>
        <v>468762.73000000045</v>
      </c>
      <c r="Q158" s="15"/>
      <c r="R158" s="33">
        <f>IF(P$12=0,0,P158/P$12)</f>
        <v>6.2341173300648693E-2</v>
      </c>
      <c r="S158" s="15"/>
      <c r="T158" s="30">
        <f>SUM(T155:T157)</f>
        <v>-306908.48412190424</v>
      </c>
      <c r="U158" s="15"/>
      <c r="V158" s="33">
        <f>IF(T$12=0,0,T158/T$12)</f>
        <v>-3.5728819137766502E-2</v>
      </c>
      <c r="W158" s="16"/>
      <c r="X158" s="30">
        <f>+P158-T158</f>
        <v>775671.21412190469</v>
      </c>
      <c r="Y158" s="16"/>
      <c r="Z158" s="33">
        <f>IF(T158=0,0,X158/T158)</f>
        <v>-2.5273697347962774</v>
      </c>
    </row>
    <row r="159" spans="1:26" ht="15" customHeight="1" x14ac:dyDescent="0.25">
      <c r="A159" s="10"/>
      <c r="C159" s="10"/>
      <c r="D159" s="18"/>
      <c r="E159" s="18"/>
      <c r="G159" s="18"/>
      <c r="H159" s="18"/>
      <c r="I159" s="18"/>
      <c r="J159" s="40"/>
      <c r="K159" s="18"/>
      <c r="L159" s="18"/>
      <c r="M159" s="18"/>
      <c r="P159" s="18"/>
      <c r="Q159" s="18"/>
      <c r="R159" s="40"/>
      <c r="S159" s="18"/>
      <c r="T159" s="18"/>
      <c r="U159" s="18"/>
      <c r="V159" s="40"/>
      <c r="W159" s="18"/>
      <c r="X159" s="18"/>
    </row>
    <row r="160" spans="1:26" ht="15" customHeight="1" x14ac:dyDescent="0.25">
      <c r="A160" s="10"/>
      <c r="B160" s="54">
        <v>44727.874480092592</v>
      </c>
      <c r="D160" s="18"/>
      <c r="E160" s="18"/>
      <c r="G160" s="18"/>
      <c r="H160" s="18"/>
      <c r="I160" s="18"/>
      <c r="J160" s="40"/>
      <c r="K160" s="18"/>
      <c r="L160" s="18"/>
      <c r="M160" s="18"/>
      <c r="P160" s="18"/>
      <c r="Q160" s="18"/>
      <c r="R160" s="40"/>
      <c r="S160" s="18"/>
      <c r="T160" s="18"/>
      <c r="U160" s="18"/>
      <c r="V160" s="40"/>
      <c r="W160" s="18"/>
      <c r="X160" s="18"/>
    </row>
    <row r="161" spans="1:24" ht="15" customHeight="1" x14ac:dyDescent="0.25">
      <c r="A161" s="10"/>
      <c r="B161" s="50" t="s">
        <v>298</v>
      </c>
      <c r="D161" s="18"/>
      <c r="E161" s="18"/>
      <c r="G161" s="18"/>
      <c r="H161" s="18"/>
      <c r="I161" s="18"/>
      <c r="J161" s="40"/>
      <c r="K161" s="18"/>
      <c r="L161" s="18"/>
      <c r="M161" s="18"/>
      <c r="P161" s="18"/>
      <c r="Q161" s="18"/>
      <c r="R161" s="40"/>
      <c r="S161" s="18"/>
      <c r="T161" s="18"/>
      <c r="U161" s="18"/>
      <c r="V161" s="40"/>
      <c r="W161" s="18"/>
      <c r="X161" s="18"/>
    </row>
    <row r="162" spans="1:24" ht="15" customHeight="1" x14ac:dyDescent="0.25">
      <c r="A162" s="10"/>
      <c r="B162" s="58"/>
      <c r="D162" s="18"/>
      <c r="E162" s="18"/>
      <c r="G162" s="18"/>
      <c r="H162" s="18"/>
      <c r="I162" s="18"/>
      <c r="J162" s="40"/>
      <c r="K162" s="18"/>
      <c r="L162" s="18"/>
      <c r="M162" s="18"/>
      <c r="P162" s="18"/>
      <c r="Q162" s="18"/>
      <c r="R162" s="40"/>
      <c r="S162" s="18"/>
      <c r="T162" s="18"/>
      <c r="U162" s="18"/>
      <c r="V162" s="40"/>
      <c r="W162" s="18"/>
      <c r="X162" s="18"/>
    </row>
    <row r="163" spans="1:24" ht="15" customHeight="1" x14ac:dyDescent="0.25">
      <c r="D163" s="18"/>
      <c r="E163" s="18"/>
      <c r="G163" s="18"/>
      <c r="H163" s="18"/>
      <c r="I163" s="18"/>
      <c r="J163" s="40"/>
      <c r="K163" s="18"/>
      <c r="L163" s="18"/>
      <c r="M163" s="18"/>
      <c r="P163" s="18"/>
      <c r="Q163" s="18"/>
      <c r="R163" s="40"/>
      <c r="S163" s="18"/>
      <c r="T163" s="18"/>
      <c r="U163" s="18"/>
      <c r="V163" s="40"/>
      <c r="W163" s="18"/>
      <c r="X16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EFF41-DCFA-8749-8884-BF1BE8EEF12D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278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51E4D-DBFF-3B05-21F6-31A8E7AF5DFC}">
  <sheetPr>
    <tabColor theme="5" tint="0.39997558519241921"/>
    <outlinePr summaryBelow="0" summaryRight="0"/>
  </sheetPr>
  <dimension ref="A2:Z17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303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1271534.79</v>
      </c>
      <c r="E12" s="5"/>
      <c r="F12" s="13"/>
      <c r="G12" s="5"/>
      <c r="H12" s="5">
        <f>SUM(OSRRefH13x_0)</f>
        <v>768349</v>
      </c>
      <c r="I12" s="5"/>
      <c r="J12" s="13"/>
      <c r="K12" s="5"/>
      <c r="L12" s="5">
        <f t="shared" ref="L12:L19" si="0">+D12-H12</f>
        <v>503185.79000000004</v>
      </c>
      <c r="M12" s="5"/>
      <c r="N12" s="13">
        <f t="shared" ref="N12:N19" si="1">IF(H12=0,0,L12/H12)</f>
        <v>0.65489222996320684</v>
      </c>
      <c r="O12" s="11"/>
      <c r="P12" s="5">
        <f>SUM(OSRRefP13x_0)</f>
        <v>10003716.029999999</v>
      </c>
      <c r="Q12" s="5"/>
      <c r="R12" s="13"/>
      <c r="S12" s="5"/>
      <c r="T12" s="5">
        <f>SUM(OSRRefT13x_0)</f>
        <v>10769765</v>
      </c>
      <c r="U12" s="5"/>
      <c r="V12" s="13"/>
      <c r="W12" s="5"/>
      <c r="X12" s="5">
        <f t="shared" ref="X12:X19" si="2">+P12-T12</f>
        <v>-766048.97000000067</v>
      </c>
      <c r="Y12" s="5"/>
      <c r="Z12" s="13">
        <f t="shared" ref="Z12:Z19" si="3">IF(T12=0,0,X12/T12)</f>
        <v>-7.1129590107119389E-2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--1251492.52</f>
        <v>1251492.52</v>
      </c>
      <c r="E13" s="3"/>
      <c r="F13" s="20"/>
      <c r="G13" s="3"/>
      <c r="H13" s="3">
        <v>718236</v>
      </c>
      <c r="I13" s="3"/>
      <c r="J13" s="20"/>
      <c r="K13" s="3"/>
      <c r="L13" s="3">
        <f t="shared" si="0"/>
        <v>533256.52</v>
      </c>
      <c r="M13" s="3"/>
      <c r="N13" s="20">
        <f t="shared" si="1"/>
        <v>0.74245306556619273</v>
      </c>
      <c r="O13" s="12"/>
      <c r="P13" s="3">
        <f>--8920929.52</f>
        <v>8920929.5199999996</v>
      </c>
      <c r="Q13" s="3"/>
      <c r="R13" s="20"/>
      <c r="S13" s="3"/>
      <c r="T13" s="3">
        <v>10254153</v>
      </c>
      <c r="U13" s="3"/>
      <c r="V13" s="20"/>
      <c r="W13" s="3"/>
      <c r="X13" s="3">
        <f t="shared" si="2"/>
        <v>-1333223.4800000004</v>
      </c>
      <c r="Y13" s="3"/>
      <c r="Z13" s="20">
        <f t="shared" si="3"/>
        <v>-0.13001790396534949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--117354.41</f>
        <v>117354.41</v>
      </c>
      <c r="E14" s="3"/>
      <c r="F14" s="20"/>
      <c r="G14" s="3"/>
      <c r="H14" s="3">
        <v>50113</v>
      </c>
      <c r="I14" s="3"/>
      <c r="J14" s="20"/>
      <c r="K14" s="3"/>
      <c r="L14" s="3">
        <f t="shared" si="0"/>
        <v>67241.41</v>
      </c>
      <c r="M14" s="3"/>
      <c r="N14" s="20">
        <f t="shared" si="1"/>
        <v>1.3417957416239299</v>
      </c>
      <c r="O14" s="12"/>
      <c r="P14" s="3">
        <f>--2003204.78</f>
        <v>2003204.78</v>
      </c>
      <c r="Q14" s="3"/>
      <c r="R14" s="20"/>
      <c r="S14" s="3"/>
      <c r="T14" s="3">
        <v>515612</v>
      </c>
      <c r="U14" s="3"/>
      <c r="V14" s="20"/>
      <c r="W14" s="3"/>
      <c r="X14" s="3">
        <f t="shared" si="2"/>
        <v>1487592.78</v>
      </c>
      <c r="Y14" s="3"/>
      <c r="Z14" s="20">
        <f t="shared" si="3"/>
        <v>2.8851011613383708</v>
      </c>
    </row>
    <row r="15" spans="1:26" s="70" customFormat="1" ht="15" hidden="1" customHeight="1" outlineLevel="1" x14ac:dyDescent="0.25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","4200"," - ","TAXABLE RETURNS")</f>
        <v xml:space="preserve">          4200 - TAXABLE RETURNS</v>
      </c>
      <c r="C17" s="12"/>
      <c r="D17" s="3">
        <f>-75304.99</f>
        <v>-75304.990000000005</v>
      </c>
      <c r="E17" s="3"/>
      <c r="F17" s="20"/>
      <c r="G17" s="3"/>
      <c r="H17" s="3"/>
      <c r="I17" s="3"/>
      <c r="J17" s="20"/>
      <c r="K17" s="3"/>
      <c r="L17" s="3">
        <f t="shared" si="0"/>
        <v>-75304.990000000005</v>
      </c>
      <c r="M17" s="3"/>
      <c r="N17" s="20">
        <f t="shared" si="1"/>
        <v>0</v>
      </c>
      <c r="O17" s="12"/>
      <c r="P17" s="3">
        <f>-748175.6</f>
        <v>-748175.6</v>
      </c>
      <c r="Q17" s="3"/>
      <c r="R17" s="20"/>
      <c r="S17" s="3"/>
      <c r="T17" s="3"/>
      <c r="U17" s="3"/>
      <c r="V17" s="20"/>
      <c r="W17" s="3"/>
      <c r="X17" s="3">
        <f t="shared" si="2"/>
        <v>-748175.6</v>
      </c>
      <c r="Y17" s="3"/>
      <c r="Z17" s="20">
        <f t="shared" si="3"/>
        <v>0</v>
      </c>
    </row>
    <row r="18" spans="1:26" s="70" customFormat="1" ht="15" hidden="1" customHeight="1" outlineLevel="1" x14ac:dyDescent="0.25">
      <c r="A18" s="42"/>
      <c r="B18" s="12" t="str">
        <f>CONCATENATE("          ","4300"," - ","NON-TAX RETURNS")</f>
        <v xml:space="preserve">          4300 - NON-TAX RETURNS</v>
      </c>
      <c r="C18" s="12"/>
      <c r="D18" s="3">
        <f>-554.21</f>
        <v>-554.21</v>
      </c>
      <c r="E18" s="3"/>
      <c r="F18" s="20"/>
      <c r="G18" s="3"/>
      <c r="H18" s="3"/>
      <c r="I18" s="3"/>
      <c r="J18" s="20"/>
      <c r="K18" s="3"/>
      <c r="L18" s="3">
        <f t="shared" si="0"/>
        <v>-554.21</v>
      </c>
      <c r="M18" s="3"/>
      <c r="N18" s="20">
        <f t="shared" si="1"/>
        <v>0</v>
      </c>
      <c r="O18" s="12"/>
      <c r="P18" s="3">
        <f>-42885.58</f>
        <v>-42885.58</v>
      </c>
      <c r="Q18" s="3"/>
      <c r="R18" s="20"/>
      <c r="S18" s="3"/>
      <c r="T18" s="3"/>
      <c r="U18" s="3"/>
      <c r="V18" s="20"/>
      <c r="W18" s="3"/>
      <c r="X18" s="3">
        <f t="shared" si="2"/>
        <v>-42885.58</v>
      </c>
      <c r="Y18" s="3"/>
      <c r="Z18" s="20">
        <f t="shared" si="3"/>
        <v>0</v>
      </c>
    </row>
    <row r="19" spans="1:26" s="70" customFormat="1" ht="15" hidden="1" customHeight="1" outlineLevel="1" x14ac:dyDescent="0.25">
      <c r="A19" s="42"/>
      <c r="B19" s="12" t="str">
        <f>CONCATENATE("          ","4500"," - ","SALES DISCOUNT")</f>
        <v xml:space="preserve">          4500 - SALES DISCOUNT</v>
      </c>
      <c r="C19" s="12"/>
      <c r="D19" s="3">
        <f>-21452.94</f>
        <v>-21452.94</v>
      </c>
      <c r="E19" s="3"/>
      <c r="F19" s="20"/>
      <c r="G19" s="3"/>
      <c r="H19" s="3"/>
      <c r="I19" s="3"/>
      <c r="J19" s="20"/>
      <c r="K19" s="3"/>
      <c r="L19" s="3">
        <f t="shared" si="0"/>
        <v>-21452.94</v>
      </c>
      <c r="M19" s="3"/>
      <c r="N19" s="20">
        <f t="shared" si="1"/>
        <v>0</v>
      </c>
      <c r="O19" s="12"/>
      <c r="P19" s="3">
        <f>-129357.09</f>
        <v>-129357.09</v>
      </c>
      <c r="Q19" s="3"/>
      <c r="R19" s="20"/>
      <c r="S19" s="3"/>
      <c r="T19" s="3"/>
      <c r="U19" s="3"/>
      <c r="V19" s="20"/>
      <c r="W19" s="3"/>
      <c r="X19" s="3">
        <f t="shared" si="2"/>
        <v>-129357.09</v>
      </c>
      <c r="Y19" s="3"/>
      <c r="Z19" s="20">
        <f t="shared" si="3"/>
        <v>0</v>
      </c>
    </row>
    <row r="20" spans="1:26" ht="15" customHeight="1" x14ac:dyDescent="0.25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25">
      <c r="A21" s="11"/>
      <c r="B21" s="27" t="s">
        <v>288</v>
      </c>
      <c r="C21" s="11"/>
      <c r="D21" s="5">
        <f>SUM(OSRRefD16x_0)</f>
        <v>715115.42</v>
      </c>
      <c r="E21" s="5"/>
      <c r="F21" s="13">
        <f t="shared" ref="F21:F54" si="4">IF(D$12=0,0,D21/D$12)</f>
        <v>0.56240334564499017</v>
      </c>
      <c r="G21" s="5"/>
      <c r="H21" s="5">
        <f>SUM(OSRRefH16x_0)</f>
        <v>526049</v>
      </c>
      <c r="I21" s="5"/>
      <c r="J21" s="13">
        <f t="shared" ref="J21:J54" si="5">IF(H$12=0,0,H21/H$12)</f>
        <v>0.68464851258998194</v>
      </c>
      <c r="K21" s="5"/>
      <c r="L21" s="5">
        <f t="shared" ref="L21:L54" si="6">+D21-H21</f>
        <v>189066.42000000004</v>
      </c>
      <c r="M21" s="5"/>
      <c r="N21" s="13">
        <f t="shared" ref="N21:N54" si="7">IF(H21=0,0,L21/H21)</f>
        <v>0.35940838210889109</v>
      </c>
      <c r="O21" s="11"/>
      <c r="P21" s="5">
        <f>SUM(OSRRefP16x_0)</f>
        <v>6183028.8000000007</v>
      </c>
      <c r="Q21" s="5"/>
      <c r="R21" s="13">
        <f t="shared" ref="R21:R54" si="8">IF(P$12=0,0,P21/P$12)</f>
        <v>0.61807320214386385</v>
      </c>
      <c r="S21" s="5"/>
      <c r="T21" s="5">
        <f>SUM(OSRRefT16x_0)</f>
        <v>7151085</v>
      </c>
      <c r="U21" s="5"/>
      <c r="V21" s="13">
        <f t="shared" ref="V21:V54" si="9">IF(T$12=0,0,T21/T$12)</f>
        <v>0.6639963824651699</v>
      </c>
      <c r="W21" s="5"/>
      <c r="X21" s="5">
        <f t="shared" ref="X21:X54" si="10">+P21-T21</f>
        <v>-968056.19999999925</v>
      </c>
      <c r="Y21" s="5"/>
      <c r="Z21" s="13">
        <f t="shared" ref="Z21:Z54" si="11">IF(T21=0,0,X21/T21)</f>
        <v>-0.13537193307029621</v>
      </c>
    </row>
    <row r="22" spans="1:26" s="70" customFormat="1" ht="15" hidden="1" customHeight="1" outlineLevel="1" x14ac:dyDescent="0.25">
      <c r="A22" s="42"/>
      <c r="B22" s="12" t="str">
        <f>CONCATENATE("          ","5000"," - ","PURCHASES @ COST")</f>
        <v xml:space="preserve">          5000 - PURCHASES @ COST</v>
      </c>
      <c r="C22" s="12"/>
      <c r="D22" s="3">
        <v>819824.79</v>
      </c>
      <c r="E22" s="3"/>
      <c r="F22" s="20">
        <f t="shared" si="4"/>
        <v>0.64475215027345023</v>
      </c>
      <c r="G22" s="3"/>
      <c r="H22" s="3">
        <v>526049</v>
      </c>
      <c r="I22" s="3"/>
      <c r="J22" s="20">
        <f t="shared" si="5"/>
        <v>0.68464851258998194</v>
      </c>
      <c r="K22" s="3"/>
      <c r="L22" s="3">
        <f t="shared" si="6"/>
        <v>293775.79000000004</v>
      </c>
      <c r="M22" s="3"/>
      <c r="N22" s="20">
        <f t="shared" si="7"/>
        <v>0.5584570828953197</v>
      </c>
      <c r="O22" s="12"/>
      <c r="P22" s="3">
        <v>6261972.0800000001</v>
      </c>
      <c r="Q22" s="3"/>
      <c r="R22" s="20">
        <f t="shared" si="8"/>
        <v>0.62596459767760926</v>
      </c>
      <c r="S22" s="3"/>
      <c r="T22" s="3">
        <v>7151085</v>
      </c>
      <c r="U22" s="3"/>
      <c r="V22" s="20">
        <f t="shared" si="9"/>
        <v>0.6639963824651699</v>
      </c>
      <c r="W22" s="3"/>
      <c r="X22" s="3">
        <f t="shared" si="10"/>
        <v>-889112.91999999993</v>
      </c>
      <c r="Y22" s="3"/>
      <c r="Z22" s="20">
        <f t="shared" si="11"/>
        <v>-0.12433259008947592</v>
      </c>
    </row>
    <row r="23" spans="1:26" s="70" customFormat="1" ht="15" hidden="1" customHeight="1" outlineLevel="1" x14ac:dyDescent="0.25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","5081"," - ","PURCHASES @ COST-ELECTRONICS")</f>
        <v xml:space="preserve">          5081 - PURCHASES @ COST-ELECTRONICS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","5082"," - ","PURCHASES @ COST-COMPUTER HARD")</f>
        <v xml:space="preserve">          5082 - PURCHASES @ COST-COMPUTER HARD</v>
      </c>
      <c r="C37" s="12"/>
      <c r="D37" s="3">
        <v>-10189.709999999999</v>
      </c>
      <c r="E37" s="3"/>
      <c r="F37" s="20">
        <f t="shared" si="4"/>
        <v>-8.0137091648117623E-3</v>
      </c>
      <c r="G37" s="3"/>
      <c r="H37" s="3"/>
      <c r="I37" s="3"/>
      <c r="J37" s="20">
        <f t="shared" si="5"/>
        <v>0</v>
      </c>
      <c r="K37" s="3"/>
      <c r="L37" s="3">
        <f t="shared" si="6"/>
        <v>-10189.709999999999</v>
      </c>
      <c r="M37" s="3"/>
      <c r="N37" s="20">
        <f t="shared" si="7"/>
        <v>0</v>
      </c>
      <c r="O37" s="12"/>
      <c r="P37" s="3">
        <v>-120382.97</v>
      </c>
      <c r="Q37" s="3"/>
      <c r="R37" s="20">
        <f t="shared" si="8"/>
        <v>-1.2033825194456265E-2</v>
      </c>
      <c r="S37" s="3"/>
      <c r="T37" s="3"/>
      <c r="U37" s="3"/>
      <c r="V37" s="20">
        <f t="shared" si="9"/>
        <v>0</v>
      </c>
      <c r="W37" s="3"/>
      <c r="X37" s="3">
        <f t="shared" si="10"/>
        <v>-120382.97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","5083"," - ","PURCHASES @ COST-COMPUTER EQUI")</f>
        <v xml:space="preserve">          5083 - PURCHASES @ COST-COMPUTER EQUI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25">
      <c r="A39" s="42"/>
      <c r="B39" s="12" t="str">
        <f>CONCATENATE("          ","5085"," - ","PURCHASES @ COST-SOFTWARE")</f>
        <v xml:space="preserve">          5085 - PURCHASES @ COST-SOFTWARE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25">
      <c r="A40" s="42"/>
      <c r="B40" s="12" t="str">
        <f>CONCATENATE("          ","5086"," - ","PURCHASES @ COST-COMPUTER SUPP")</f>
        <v xml:space="preserve">          5086 - PURCHASES @ COST-COMPUTER SUPP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25">
      <c r="A41" s="42"/>
      <c r="B41" s="12" t="str">
        <f>CONCATENATE("          ","5200"," - ","PURCHASES OFFSET")</f>
        <v xml:space="preserve">          5200 - PURCHASES OFFSET</v>
      </c>
      <c r="C41" s="12"/>
      <c r="D41" s="3">
        <v>-829131.5</v>
      </c>
      <c r="E41" s="3"/>
      <c r="F41" s="20">
        <f t="shared" si="4"/>
        <v>-0.65207142307132626</v>
      </c>
      <c r="G41" s="3"/>
      <c r="H41" s="3"/>
      <c r="I41" s="3"/>
      <c r="J41" s="20">
        <f t="shared" si="5"/>
        <v>0</v>
      </c>
      <c r="K41" s="3"/>
      <c r="L41" s="3">
        <f t="shared" si="6"/>
        <v>-829131.5</v>
      </c>
      <c r="M41" s="3"/>
      <c r="N41" s="20">
        <f t="shared" si="7"/>
        <v>0</v>
      </c>
      <c r="O41" s="12"/>
      <c r="P41" s="3">
        <v>-6155458.2800000003</v>
      </c>
      <c r="Q41" s="3"/>
      <c r="R41" s="20">
        <f t="shared" si="8"/>
        <v>-0.61531717429208166</v>
      </c>
      <c r="S41" s="3"/>
      <c r="T41" s="3"/>
      <c r="U41" s="3"/>
      <c r="V41" s="20">
        <f t="shared" si="9"/>
        <v>0</v>
      </c>
      <c r="W41" s="3"/>
      <c r="X41" s="3">
        <f t="shared" si="10"/>
        <v>-6155458.2800000003</v>
      </c>
      <c r="Y41" s="3"/>
      <c r="Z41" s="20">
        <f t="shared" si="11"/>
        <v>0</v>
      </c>
    </row>
    <row r="42" spans="1:26" s="70" customFormat="1" ht="15" hidden="1" customHeight="1" outlineLevel="1" x14ac:dyDescent="0.25">
      <c r="A42" s="42"/>
      <c r="B42" s="12" t="str">
        <f>CONCATENATE("          ","5300"," - ","COG$ OFFSET")</f>
        <v xml:space="preserve">          5300 - COG$ OFFSET</v>
      </c>
      <c r="C42" s="12"/>
      <c r="D42" s="3">
        <v>722710.87</v>
      </c>
      <c r="E42" s="3"/>
      <c r="F42" s="20">
        <f t="shared" si="4"/>
        <v>0.56837679604503777</v>
      </c>
      <c r="G42" s="3"/>
      <c r="H42" s="3"/>
      <c r="I42" s="3"/>
      <c r="J42" s="20">
        <f t="shared" si="5"/>
        <v>0</v>
      </c>
      <c r="K42" s="3"/>
      <c r="L42" s="3">
        <f t="shared" si="6"/>
        <v>722710.87</v>
      </c>
      <c r="M42" s="3"/>
      <c r="N42" s="20">
        <f t="shared" si="7"/>
        <v>0</v>
      </c>
      <c r="O42" s="12"/>
      <c r="P42" s="3">
        <v>6001519.6900000004</v>
      </c>
      <c r="Q42" s="3"/>
      <c r="R42" s="20">
        <f t="shared" si="8"/>
        <v>0.59992903357133787</v>
      </c>
      <c r="S42" s="3"/>
      <c r="T42" s="3"/>
      <c r="U42" s="3"/>
      <c r="V42" s="20">
        <f t="shared" si="9"/>
        <v>0</v>
      </c>
      <c r="W42" s="3"/>
      <c r="X42" s="3">
        <f t="shared" si="10"/>
        <v>6001519.6900000004</v>
      </c>
      <c r="Y42" s="3"/>
      <c r="Z42" s="20">
        <f t="shared" si="11"/>
        <v>0</v>
      </c>
    </row>
    <row r="43" spans="1:26" s="70" customFormat="1" ht="15" hidden="1" customHeight="1" outlineLevel="1" x14ac:dyDescent="0.25">
      <c r="A43" s="42"/>
      <c r="B43" s="12" t="str">
        <f>CONCATENATE("          ","5500"," - ","FREIGHT-IN")</f>
        <v xml:space="preserve">          5500 - FREIGHT-IN</v>
      </c>
      <c r="C43" s="12"/>
      <c r="D43" s="3">
        <v>11900.97</v>
      </c>
      <c r="E43" s="3"/>
      <c r="F43" s="20">
        <f t="shared" si="4"/>
        <v>9.3595315626401367E-3</v>
      </c>
      <c r="G43" s="3"/>
      <c r="H43" s="3"/>
      <c r="I43" s="3"/>
      <c r="J43" s="20">
        <f t="shared" si="5"/>
        <v>0</v>
      </c>
      <c r="K43" s="3"/>
      <c r="L43" s="3">
        <f t="shared" si="6"/>
        <v>11900.97</v>
      </c>
      <c r="M43" s="3"/>
      <c r="N43" s="20">
        <f t="shared" si="7"/>
        <v>0</v>
      </c>
      <c r="O43" s="12"/>
      <c r="P43" s="3">
        <v>195378.28</v>
      </c>
      <c r="Q43" s="3"/>
      <c r="R43" s="20">
        <f t="shared" si="8"/>
        <v>1.9530570381454542E-2</v>
      </c>
      <c r="S43" s="3"/>
      <c r="T43" s="3"/>
      <c r="U43" s="3"/>
      <c r="V43" s="20">
        <f t="shared" si="9"/>
        <v>0</v>
      </c>
      <c r="W43" s="3"/>
      <c r="X43" s="3">
        <f t="shared" si="10"/>
        <v>195378.28</v>
      </c>
      <c r="Y43" s="3"/>
      <c r="Z43" s="20">
        <f t="shared" si="11"/>
        <v>0</v>
      </c>
    </row>
    <row r="44" spans="1:26" s="70" customFormat="1" ht="15" hidden="1" customHeight="1" outlineLevel="1" x14ac:dyDescent="0.25">
      <c r="A44" s="42"/>
      <c r="B44" s="12" t="str">
        <f>CONCATENATE("          ","5501"," - ","FREIGHT-IN-NEW TEXT")</f>
        <v xml:space="preserve">          5501 - FREIGHT-IN-NEW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25">
      <c r="A45" s="42"/>
      <c r="B45" s="12" t="str">
        <f>CONCATENATE("          ","5502"," - ","FREIGHT-IN-USED TEXT")</f>
        <v xml:space="preserve">          5502 - FREIGHT-IN-USED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25">
      <c r="A46" s="42"/>
      <c r="B46" s="12" t="str">
        <f>CONCATENATE("          ","5518"," - ","FREIGHT-IN-STUDY GUIDES")</f>
        <v xml:space="preserve">          5518 - FREIGHT-IN-STUDY GUIDES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25">
      <c r="A47" s="42"/>
      <c r="B47" s="12" t="str">
        <f>CONCATENATE("          ","5527"," - ","FREIGHT-IN-SCHOOL SUPPLIES")</f>
        <v xml:space="preserve">          5527 - FREIGHT-IN-SCHOOL SUPPLIES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25">
      <c r="A48" s="42"/>
      <c r="B48" s="12" t="str">
        <f>CONCATENATE("          ","5528"," - ","FREIGHT-IN-ART/TECH")</f>
        <v xml:space="preserve">          5528 - FREIGHT-IN-ART/TECH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25">
      <c r="A49" s="42"/>
      <c r="B49" s="12" t="str">
        <f>CONCATENATE("          ","5540"," - ","FREIGHT-IN-LOGO CLOTHING")</f>
        <v xml:space="preserve">          5540 - FREIGHT-IN-LOGO CLOTHING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25">
      <c r="A50" s="42"/>
      <c r="B50" s="12" t="str">
        <f>CONCATENATE("          ","5541"," - ","FREIGHT-IN-LOGO GIFTS")</f>
        <v xml:space="preserve">          5541 - FREIGHT-IN-LOGO GIFTS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25">
      <c r="A51" s="42"/>
      <c r="B51" s="12" t="str">
        <f>CONCATENATE("          ","5542"," - ","FREIGHT-IN-EVERYDAY GIFTS")</f>
        <v xml:space="preserve">          5542 - FREIGHT-IN-EVERYDAY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25">
      <c r="A52" s="42"/>
      <c r="B52" s="12" t="str">
        <f>CONCATENATE("          ","5544"," - ","FREIGHT-IN-ACCESSORIES")</f>
        <v xml:space="preserve">          5544 - FREIGHT-IN-ACCESSORIES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25">
      <c r="A53" s="42"/>
      <c r="B53" s="12" t="str">
        <f>CONCATENATE("          ","5545"," - ","FREIGHT-IN-SPECIAL ORDERS")</f>
        <v xml:space="preserve">          5545 - FREIGHT-IN-SPECIAL ORDERS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25">
      <c r="A54" s="42"/>
      <c r="B54" s="12" t="str">
        <f>CONCATENATE("          ","5583"," - ","FREIGHT-IN-COMPUTER EQUIPMENT")</f>
        <v xml:space="preserve">          5583 - FREIGHT-IN-COMPUTER EQUIPMENT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25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25">
      <c r="A56" s="11"/>
      <c r="B56" s="28" t="s">
        <v>289</v>
      </c>
      <c r="C56" s="28"/>
      <c r="D56" s="22">
        <f>D12-D21</f>
        <v>556419.37</v>
      </c>
      <c r="E56" s="15"/>
      <c r="F56" s="21">
        <f>IF(D$12=0,0,D56/D$12)</f>
        <v>0.43759665435500983</v>
      </c>
      <c r="G56" s="15"/>
      <c r="H56" s="22">
        <f>H12-H21</f>
        <v>242300</v>
      </c>
      <c r="I56" s="15"/>
      <c r="J56" s="21">
        <f>IF(H$12=0,0,H56/H$12)</f>
        <v>0.31535148741001812</v>
      </c>
      <c r="K56" s="16"/>
      <c r="L56" s="22">
        <f>+D56-H56</f>
        <v>314119.37</v>
      </c>
      <c r="M56" s="16"/>
      <c r="N56" s="21">
        <f>IF(H56=0,0,L56/H56)</f>
        <v>1.2964068097399917</v>
      </c>
      <c r="O56" s="27"/>
      <c r="P56" s="22">
        <f>P12-P21</f>
        <v>3820687.2299999986</v>
      </c>
      <c r="Q56" s="15"/>
      <c r="R56" s="21">
        <f>IF(P$12=0,0,P56/P$12)</f>
        <v>0.38192679785613615</v>
      </c>
      <c r="S56" s="15"/>
      <c r="T56" s="22">
        <f>T12-T21</f>
        <v>3618680</v>
      </c>
      <c r="U56" s="15"/>
      <c r="V56" s="21">
        <f>IF(T$12=0,0,T56/T$12)</f>
        <v>0.33600361753483016</v>
      </c>
      <c r="W56" s="16"/>
      <c r="X56" s="22">
        <f>+P56-T56</f>
        <v>202007.22999999858</v>
      </c>
      <c r="Y56" s="16"/>
      <c r="Z56" s="21">
        <f>IF(T56=0,0,X56/T56)</f>
        <v>5.5823457724915877E-2</v>
      </c>
    </row>
    <row r="57" spans="1:26" ht="15" customHeight="1" x14ac:dyDescent="0.25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25">
      <c r="A58" s="11"/>
      <c r="B58" s="27" t="s">
        <v>290</v>
      </c>
      <c r="C58" s="11"/>
      <c r="D58" s="23" cm="1">
        <f t="array" ref="D58">SUM(OSRRefD22x_0)</f>
        <v>342599.89999999997</v>
      </c>
      <c r="E58" s="23"/>
      <c r="F58" s="31">
        <f t="shared" ref="F58:F89" si="12">IF(D$12=0,0,D58/D$12)</f>
        <v>0.26943808592134544</v>
      </c>
      <c r="G58" s="23"/>
      <c r="H58" s="23" cm="1">
        <f t="array" ref="H58">SUM(OSRRefH22x_0)</f>
        <v>299967.53450962505</v>
      </c>
      <c r="I58" s="23"/>
      <c r="J58" s="31">
        <f t="shared" ref="J58:J89" si="13">IF(H$12=0,0,H58/H$12)</f>
        <v>0.39040531647678989</v>
      </c>
      <c r="K58" s="5"/>
      <c r="L58" s="23">
        <f t="shared" ref="L58:L89" si="14">+D58-H58</f>
        <v>42632.365490374912</v>
      </c>
      <c r="M58" s="5"/>
      <c r="N58" s="31">
        <f t="shared" ref="N58:N89" si="15">IF(H58=0,0,L58/H58)</f>
        <v>0.14212326530625591</v>
      </c>
      <c r="O58" s="11"/>
      <c r="P58" s="23" cm="1">
        <f t="array" ref="P58">SUM(OSRRefP22x_0)</f>
        <v>3709153.09</v>
      </c>
      <c r="Q58" s="23"/>
      <c r="R58" s="31">
        <f t="shared" ref="R58:R89" si="16">IF(P$12=0,0,P58/P$12)</f>
        <v>0.37077752695864957</v>
      </c>
      <c r="S58" s="23"/>
      <c r="T58" s="23" cm="1">
        <f t="array" ref="T58">SUM(OSRRefT22x_0)</f>
        <v>3847231.163812344</v>
      </c>
      <c r="U58" s="23"/>
      <c r="V58" s="31">
        <f t="shared" ref="V58:V89" si="17">IF(T$12=0,0,T58/T$12)</f>
        <v>0.35722517286239247</v>
      </c>
      <c r="W58" s="5"/>
      <c r="X58" s="23">
        <f t="shared" ref="X58:X89" si="18">+P58-T58</f>
        <v>-138078.07381234411</v>
      </c>
      <c r="Y58" s="5"/>
      <c r="Z58" s="31">
        <f t="shared" ref="Z58:Z89" si="19">IF(T58=0,0,X58/T58)</f>
        <v>-3.5890246240238434E-2</v>
      </c>
    </row>
    <row r="59" spans="1:26" s="69" customFormat="1" ht="15" customHeight="1" outlineLevel="1" collapsed="1" x14ac:dyDescent="0.25">
      <c r="A59" s="26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47707.25</v>
      </c>
      <c r="E59" s="2"/>
      <c r="F59" s="6">
        <f t="shared" si="12"/>
        <v>3.751942170610998E-2</v>
      </c>
      <c r="G59" s="2"/>
      <c r="H59" s="2">
        <f>SUM(OSRRefH22_0x_0)</f>
        <v>45977.729750909784</v>
      </c>
      <c r="I59" s="2"/>
      <c r="J59" s="6">
        <f t="shared" si="13"/>
        <v>5.9839642858791751E-2</v>
      </c>
      <c r="K59" s="2"/>
      <c r="L59" s="2">
        <f t="shared" si="14"/>
        <v>1729.5202490902157</v>
      </c>
      <c r="M59" s="2"/>
      <c r="N59" s="6">
        <f t="shared" si="15"/>
        <v>3.7616477770001093E-2</v>
      </c>
      <c r="O59" s="14"/>
      <c r="P59" s="2">
        <f>SUM(OSRRefP22_0x_0)</f>
        <v>547492.47</v>
      </c>
      <c r="Q59" s="2"/>
      <c r="R59" s="6">
        <f t="shared" si="16"/>
        <v>5.4728909573015939E-2</v>
      </c>
      <c r="S59" s="2"/>
      <c r="T59" s="2">
        <f>SUM(OSRRefT22_0x_0)</f>
        <v>557949.18649429781</v>
      </c>
      <c r="U59" s="2"/>
      <c r="V59" s="6">
        <f t="shared" si="17"/>
        <v>5.1806997320210588E-2</v>
      </c>
      <c r="W59" s="2"/>
      <c r="X59" s="2">
        <f t="shared" si="18"/>
        <v>-10456.716494297842</v>
      </c>
      <c r="Y59" s="2"/>
      <c r="Z59" s="6">
        <f t="shared" si="19"/>
        <v>-1.8741341949074976E-2</v>
      </c>
    </row>
    <row r="60" spans="1:26" s="70" customFormat="1" ht="15" hidden="1" customHeight="1" outlineLevel="2" x14ac:dyDescent="0.25">
      <c r="A60" s="25"/>
      <c r="B60" s="12" t="str">
        <f>CONCATENATE("          ","6111"," - ","F.I.C.A.")</f>
        <v xml:space="preserve">          6111 - F.I.C.A.</v>
      </c>
      <c r="C60" s="12"/>
      <c r="D60" s="8">
        <v>9506.4699999999993</v>
      </c>
      <c r="E60" s="3"/>
      <c r="F60" s="7">
        <f t="shared" si="12"/>
        <v>7.4763742799361385E-3</v>
      </c>
      <c r="G60" s="3"/>
      <c r="H60" s="8">
        <v>9461.2790966420798</v>
      </c>
      <c r="I60" s="3"/>
      <c r="J60" s="7">
        <f t="shared" si="13"/>
        <v>1.2313778109481602E-2</v>
      </c>
      <c r="K60" s="3"/>
      <c r="L60" s="8">
        <f t="shared" si="14"/>
        <v>45.190903357919524</v>
      </c>
      <c r="M60" s="3"/>
      <c r="N60" s="7">
        <f t="shared" si="15"/>
        <v>4.7764052720903572E-3</v>
      </c>
      <c r="O60" s="12"/>
      <c r="P60" s="8">
        <v>102794.15</v>
      </c>
      <c r="Q60" s="3"/>
      <c r="R60" s="7">
        <f t="shared" si="16"/>
        <v>1.0275596557492446E-2</v>
      </c>
      <c r="S60" s="3"/>
      <c r="T60" s="8">
        <v>117160.68145979699</v>
      </c>
      <c r="U60" s="3"/>
      <c r="V60" s="7">
        <f t="shared" si="17"/>
        <v>1.0878666475990608E-2</v>
      </c>
      <c r="W60" s="3"/>
      <c r="X60" s="8">
        <f t="shared" si="18"/>
        <v>-14366.531459796999</v>
      </c>
      <c r="Y60" s="3"/>
      <c r="Z60" s="7">
        <f t="shared" si="19"/>
        <v>-0.12262246413039848</v>
      </c>
    </row>
    <row r="61" spans="1:26" s="70" customFormat="1" ht="15" hidden="1" customHeight="1" outlineLevel="2" x14ac:dyDescent="0.25">
      <c r="A61" s="25"/>
      <c r="B61" s="12" t="str">
        <f>CONCATENATE("          ","6112"," - ","COMPENSATION INSURANCE")</f>
        <v xml:space="preserve">          6112 - COMPENSATION INSURANCE</v>
      </c>
      <c r="C61" s="12"/>
      <c r="D61" s="8">
        <v>3798.85</v>
      </c>
      <c r="E61" s="3"/>
      <c r="F61" s="7">
        <f t="shared" si="12"/>
        <v>2.987609957569466E-3</v>
      </c>
      <c r="G61" s="3"/>
      <c r="H61" s="8">
        <v>2553.75785688</v>
      </c>
      <c r="I61" s="3"/>
      <c r="J61" s="7">
        <f t="shared" si="13"/>
        <v>3.3236951657124561E-3</v>
      </c>
      <c r="K61" s="3"/>
      <c r="L61" s="8">
        <f t="shared" si="14"/>
        <v>1245.0921431199999</v>
      </c>
      <c r="M61" s="3"/>
      <c r="N61" s="7">
        <f t="shared" si="15"/>
        <v>0.48755293684780482</v>
      </c>
      <c r="O61" s="12"/>
      <c r="P61" s="8">
        <v>29835.83</v>
      </c>
      <c r="Q61" s="3"/>
      <c r="R61" s="7">
        <f t="shared" si="16"/>
        <v>2.9824747034527732E-3</v>
      </c>
      <c r="S61" s="3"/>
      <c r="T61" s="8">
        <v>32899.631791560001</v>
      </c>
      <c r="U61" s="3"/>
      <c r="V61" s="7">
        <f t="shared" si="17"/>
        <v>3.0548142686084609E-3</v>
      </c>
      <c r="W61" s="3"/>
      <c r="X61" s="8">
        <f t="shared" si="18"/>
        <v>-3063.8017915599994</v>
      </c>
      <c r="Y61" s="3"/>
      <c r="Z61" s="7">
        <f t="shared" si="19"/>
        <v>-9.3125716754859866E-2</v>
      </c>
    </row>
    <row r="62" spans="1:26" s="70" customFormat="1" ht="15" hidden="1" customHeight="1" outlineLevel="2" x14ac:dyDescent="0.25">
      <c r="A62" s="25"/>
      <c r="B62" s="12" t="str">
        <f>CONCATENATE("          ","6113"," - ","GROUP INSURANCE")</f>
        <v xml:space="preserve">          6113 - GROUP INSURANCE</v>
      </c>
      <c r="C62" s="12"/>
      <c r="D62" s="8">
        <v>15799.57</v>
      </c>
      <c r="E62" s="3"/>
      <c r="F62" s="7">
        <f t="shared" si="12"/>
        <v>1.2425590022589944E-2</v>
      </c>
      <c r="G62" s="3"/>
      <c r="H62" s="8">
        <v>16659.4230769231</v>
      </c>
      <c r="I62" s="3"/>
      <c r="J62" s="7">
        <f t="shared" si="13"/>
        <v>2.1682104196039949E-2</v>
      </c>
      <c r="K62" s="3"/>
      <c r="L62" s="8">
        <f t="shared" si="14"/>
        <v>-859.85307692310016</v>
      </c>
      <c r="M62" s="3"/>
      <c r="N62" s="7">
        <f t="shared" si="15"/>
        <v>-5.1613616687253859E-2</v>
      </c>
      <c r="O62" s="12"/>
      <c r="P62" s="8">
        <v>190253.14</v>
      </c>
      <c r="Q62" s="3"/>
      <c r="R62" s="7">
        <f t="shared" si="16"/>
        <v>1.9018246762448336E-2</v>
      </c>
      <c r="S62" s="3"/>
      <c r="T62" s="8">
        <v>193081.07692307699</v>
      </c>
      <c r="U62" s="3"/>
      <c r="V62" s="7">
        <f t="shared" si="17"/>
        <v>1.7928067782637502E-2</v>
      </c>
      <c r="W62" s="3"/>
      <c r="X62" s="8">
        <f t="shared" si="18"/>
        <v>-2827.9369230769807</v>
      </c>
      <c r="Y62" s="3"/>
      <c r="Z62" s="7">
        <f t="shared" si="19"/>
        <v>-1.4646370157773791E-2</v>
      </c>
    </row>
    <row r="63" spans="1:26" s="70" customFormat="1" ht="15" hidden="1" customHeight="1" outlineLevel="2" x14ac:dyDescent="0.25">
      <c r="A63" s="25"/>
      <c r="B63" s="12" t="str">
        <f>CONCATENATE("          ","6114"," - ","STATE UNEMPLOYMENT INSURANCE")</f>
        <v xml:space="preserve">          6114 - STATE UNEMPLOYMENT INSURANCE</v>
      </c>
      <c r="C63" s="12"/>
      <c r="D63" s="8">
        <v>678.8</v>
      </c>
      <c r="E63" s="3"/>
      <c r="F63" s="7">
        <f t="shared" si="12"/>
        <v>5.3384304176215265E-4</v>
      </c>
      <c r="G63" s="3"/>
      <c r="H63" s="8">
        <v>343.77509611846199</v>
      </c>
      <c r="I63" s="3"/>
      <c r="J63" s="7">
        <f t="shared" si="13"/>
        <v>4.474205030766774E-4</v>
      </c>
      <c r="K63" s="3"/>
      <c r="L63" s="8">
        <f t="shared" si="14"/>
        <v>335.02490388153797</v>
      </c>
      <c r="M63" s="3"/>
      <c r="N63" s="7">
        <f t="shared" si="15"/>
        <v>0.97454675357313036</v>
      </c>
      <c r="O63" s="12"/>
      <c r="P63" s="8">
        <v>5368.26</v>
      </c>
      <c r="Q63" s="3"/>
      <c r="R63" s="7">
        <f t="shared" si="16"/>
        <v>5.3662658795003806E-4</v>
      </c>
      <c r="S63" s="3"/>
      <c r="T63" s="8">
        <v>4428.7965873253797</v>
      </c>
      <c r="U63" s="3"/>
      <c r="V63" s="7">
        <f t="shared" si="17"/>
        <v>4.1122499769729237E-4</v>
      </c>
      <c r="W63" s="3"/>
      <c r="X63" s="8">
        <f t="shared" si="18"/>
        <v>939.46341267462049</v>
      </c>
      <c r="Y63" s="3"/>
      <c r="Z63" s="7">
        <f t="shared" si="19"/>
        <v>0.21212611465679829</v>
      </c>
    </row>
    <row r="64" spans="1:26" s="70" customFormat="1" ht="15" hidden="1" customHeight="1" outlineLevel="2" x14ac:dyDescent="0.25">
      <c r="A64" s="25"/>
      <c r="B64" s="12" t="str">
        <f>CONCATENATE("          ","6115"," - ","P.E.R.S.")</f>
        <v xml:space="preserve">          6115 - P.E.R.S.</v>
      </c>
      <c r="C64" s="12"/>
      <c r="D64" s="8">
        <v>4607.9799999999996</v>
      </c>
      <c r="E64" s="3"/>
      <c r="F64" s="7">
        <f t="shared" si="12"/>
        <v>3.6239511779304124E-3</v>
      </c>
      <c r="G64" s="3"/>
      <c r="H64" s="8">
        <v>4417.7643771846097</v>
      </c>
      <c r="I64" s="3"/>
      <c r="J64" s="7">
        <f t="shared" si="13"/>
        <v>5.7496845537439488E-3</v>
      </c>
      <c r="K64" s="3"/>
      <c r="L64" s="8">
        <f t="shared" si="14"/>
        <v>190.21562281538991</v>
      </c>
      <c r="M64" s="3"/>
      <c r="N64" s="7">
        <f t="shared" si="15"/>
        <v>4.30569868772884E-2</v>
      </c>
      <c r="O64" s="12"/>
      <c r="P64" s="8">
        <v>73128.259999999995</v>
      </c>
      <c r="Q64" s="3"/>
      <c r="R64" s="7">
        <f t="shared" si="16"/>
        <v>7.3101095413641006E-3</v>
      </c>
      <c r="S64" s="3"/>
      <c r="T64" s="8">
        <v>54830.765987753803</v>
      </c>
      <c r="U64" s="3"/>
      <c r="V64" s="7">
        <f t="shared" si="17"/>
        <v>5.091175711610588E-3</v>
      </c>
      <c r="W64" s="3"/>
      <c r="X64" s="8">
        <f t="shared" si="18"/>
        <v>18297.494012246192</v>
      </c>
      <c r="Y64" s="3"/>
      <c r="Z64" s="7">
        <f t="shared" si="19"/>
        <v>0.33370852445017551</v>
      </c>
    </row>
    <row r="65" spans="1:26" s="70" customFormat="1" ht="15" hidden="1" customHeight="1" outlineLevel="2" x14ac:dyDescent="0.25">
      <c r="A65" s="25"/>
      <c r="B65" s="12" t="str">
        <f>CONCATENATE("          ","6116"," - ","EDUCATIONAL BENEFITS")</f>
        <v xml:space="preserve">          6116 - EDUCATIONAL BENEFITS</v>
      </c>
      <c r="C65" s="12"/>
      <c r="D65" s="8"/>
      <c r="E65" s="3"/>
      <c r="F65" s="7">
        <f t="shared" si="12"/>
        <v>0</v>
      </c>
      <c r="G65" s="3"/>
      <c r="H65" s="8">
        <v>0</v>
      </c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/>
      <c r="Q65" s="3"/>
      <c r="R65" s="7">
        <f t="shared" si="16"/>
        <v>0</v>
      </c>
      <c r="S65" s="3"/>
      <c r="T65" s="8">
        <v>0</v>
      </c>
      <c r="U65" s="3"/>
      <c r="V65" s="7">
        <f t="shared" si="17"/>
        <v>0</v>
      </c>
      <c r="W65" s="3"/>
      <c r="X65" s="8">
        <f t="shared" si="18"/>
        <v>0</v>
      </c>
      <c r="Y65" s="3"/>
      <c r="Z65" s="7">
        <f t="shared" si="19"/>
        <v>0</v>
      </c>
    </row>
    <row r="66" spans="1:26" s="70" customFormat="1" ht="15" hidden="1" customHeight="1" outlineLevel="2" x14ac:dyDescent="0.25">
      <c r="A66" s="25"/>
      <c r="B66" s="12" t="str">
        <f>CONCATENATE("          ","6117"," - ","RETIREMENT STAFF HOURLY")</f>
        <v xml:space="preserve">          6117 - RETIREMENT STAFF HOURLY</v>
      </c>
      <c r="C66" s="12"/>
      <c r="D66" s="8">
        <v>867.37</v>
      </c>
      <c r="E66" s="3"/>
      <c r="F66" s="7">
        <f t="shared" si="12"/>
        <v>6.8214413543494156E-4</v>
      </c>
      <c r="G66" s="3"/>
      <c r="H66" s="8"/>
      <c r="I66" s="3"/>
      <c r="J66" s="7">
        <f t="shared" si="13"/>
        <v>0</v>
      </c>
      <c r="K66" s="3"/>
      <c r="L66" s="8">
        <f t="shared" si="14"/>
        <v>867.37</v>
      </c>
      <c r="M66" s="3"/>
      <c r="N66" s="7">
        <f t="shared" si="15"/>
        <v>0</v>
      </c>
      <c r="O66" s="12"/>
      <c r="P66" s="8">
        <v>7902.71</v>
      </c>
      <c r="Q66" s="3"/>
      <c r="R66" s="7">
        <f t="shared" si="16"/>
        <v>7.8997744201261583E-4</v>
      </c>
      <c r="S66" s="3"/>
      <c r="T66" s="8"/>
      <c r="U66" s="3"/>
      <c r="V66" s="7">
        <f t="shared" si="17"/>
        <v>0</v>
      </c>
      <c r="W66" s="3"/>
      <c r="X66" s="8">
        <f t="shared" si="18"/>
        <v>7902.71</v>
      </c>
      <c r="Y66" s="3"/>
      <c r="Z66" s="7">
        <f t="shared" si="19"/>
        <v>0</v>
      </c>
    </row>
    <row r="67" spans="1:26" s="70" customFormat="1" ht="15" hidden="1" customHeight="1" outlineLevel="2" x14ac:dyDescent="0.25">
      <c r="A67" s="25"/>
      <c r="B67" s="12" t="str">
        <f>CONCATENATE("          ","6118"," - ","VACATION")</f>
        <v xml:space="preserve">          6118 - VACATION</v>
      </c>
      <c r="C67" s="12"/>
      <c r="D67" s="8">
        <v>5024.8100000000004</v>
      </c>
      <c r="E67" s="3"/>
      <c r="F67" s="7">
        <f t="shared" si="12"/>
        <v>3.9517676114862732E-3</v>
      </c>
      <c r="G67" s="3"/>
      <c r="H67" s="8">
        <v>3972.4748426692299</v>
      </c>
      <c r="I67" s="3"/>
      <c r="J67" s="7">
        <f t="shared" si="13"/>
        <v>5.1701438313438682E-3</v>
      </c>
      <c r="K67" s="3"/>
      <c r="L67" s="8">
        <f t="shared" si="14"/>
        <v>1052.3351573307705</v>
      </c>
      <c r="M67" s="3"/>
      <c r="N67" s="7">
        <f t="shared" si="15"/>
        <v>0.26490668890521496</v>
      </c>
      <c r="O67" s="12"/>
      <c r="P67" s="8">
        <v>72284.160000000003</v>
      </c>
      <c r="Q67" s="3"/>
      <c r="R67" s="7">
        <f t="shared" si="16"/>
        <v>7.2257308967215864E-3</v>
      </c>
      <c r="S67" s="3"/>
      <c r="T67" s="8">
        <v>49783.178881261498</v>
      </c>
      <c r="U67" s="3"/>
      <c r="V67" s="7">
        <f t="shared" si="17"/>
        <v>4.6224944445177303E-3</v>
      </c>
      <c r="W67" s="3"/>
      <c r="X67" s="8">
        <f t="shared" si="18"/>
        <v>22500.981118738506</v>
      </c>
      <c r="Y67" s="3"/>
      <c r="Z67" s="7">
        <f t="shared" si="19"/>
        <v>0.45197959681132227</v>
      </c>
    </row>
    <row r="68" spans="1:26" s="70" customFormat="1" ht="15" hidden="1" customHeight="1" outlineLevel="2" x14ac:dyDescent="0.25">
      <c r="A68" s="25"/>
      <c r="B68" s="12" t="str">
        <f>CONCATENATE("          ","6119"," - ","SICK LEAVE")</f>
        <v xml:space="preserve">          6119 - SICK LEAVE</v>
      </c>
      <c r="C68" s="12"/>
      <c r="D68" s="8">
        <v>3971.55</v>
      </c>
      <c r="E68" s="3"/>
      <c r="F68" s="7">
        <f t="shared" si="12"/>
        <v>3.1234300714650521E-3</v>
      </c>
      <c r="G68" s="3"/>
      <c r="H68" s="8">
        <v>5944.2554044922999</v>
      </c>
      <c r="I68" s="3"/>
      <c r="J68" s="7">
        <f t="shared" si="13"/>
        <v>7.7364002614597012E-3</v>
      </c>
      <c r="K68" s="3"/>
      <c r="L68" s="8">
        <f t="shared" si="14"/>
        <v>-1972.7054044922997</v>
      </c>
      <c r="M68" s="3"/>
      <c r="N68" s="7">
        <f t="shared" si="15"/>
        <v>-0.33186753769049882</v>
      </c>
      <c r="O68" s="12"/>
      <c r="P68" s="8">
        <v>32060.79</v>
      </c>
      <c r="Q68" s="3"/>
      <c r="R68" s="7">
        <f t="shared" si="16"/>
        <v>3.2048880539844757E-3</v>
      </c>
      <c r="S68" s="3"/>
      <c r="T68" s="8">
        <v>76015.054863523095</v>
      </c>
      <c r="U68" s="3"/>
      <c r="V68" s="7">
        <f t="shared" si="17"/>
        <v>7.058190672082733E-3</v>
      </c>
      <c r="W68" s="3"/>
      <c r="X68" s="8">
        <f t="shared" si="18"/>
        <v>-43954.264863523094</v>
      </c>
      <c r="Y68" s="3"/>
      <c r="Z68" s="7">
        <f t="shared" si="19"/>
        <v>-0.57823104834217742</v>
      </c>
    </row>
    <row r="69" spans="1:26" s="70" customFormat="1" ht="15" hidden="1" customHeight="1" outlineLevel="2" x14ac:dyDescent="0.25">
      <c r="A69" s="25"/>
      <c r="B69" s="12" t="str">
        <f>CONCATENATE("          ","6156"," - ","EMPLOYEE MEALS")</f>
        <v xml:space="preserve">          6156 - EMPLOYEE MEALS</v>
      </c>
      <c r="C69" s="12"/>
      <c r="D69" s="8">
        <v>3451.85</v>
      </c>
      <c r="E69" s="3"/>
      <c r="F69" s="7">
        <f t="shared" si="12"/>
        <v>2.7147114079356018E-3</v>
      </c>
      <c r="G69" s="3"/>
      <c r="H69" s="8">
        <v>2625</v>
      </c>
      <c r="I69" s="3"/>
      <c r="J69" s="7">
        <f t="shared" si="13"/>
        <v>3.4164162379335433E-3</v>
      </c>
      <c r="K69" s="3"/>
      <c r="L69" s="8">
        <f t="shared" si="14"/>
        <v>826.84999999999991</v>
      </c>
      <c r="M69" s="3"/>
      <c r="N69" s="7">
        <f t="shared" si="15"/>
        <v>0.31499047619047615</v>
      </c>
      <c r="O69" s="12"/>
      <c r="P69" s="8">
        <v>33865.17</v>
      </c>
      <c r="Q69" s="3"/>
      <c r="R69" s="7">
        <f t="shared" si="16"/>
        <v>3.3852590275895707E-3</v>
      </c>
      <c r="S69" s="3"/>
      <c r="T69" s="8">
        <v>29750</v>
      </c>
      <c r="U69" s="3"/>
      <c r="V69" s="7">
        <f t="shared" si="17"/>
        <v>2.7623629670656697E-3</v>
      </c>
      <c r="W69" s="3"/>
      <c r="X69" s="8">
        <f t="shared" si="18"/>
        <v>4115.1699999999983</v>
      </c>
      <c r="Y69" s="3"/>
      <c r="Z69" s="7">
        <f t="shared" si="19"/>
        <v>0.13832504201680668</v>
      </c>
    </row>
    <row r="70" spans="1:26" s="69" customFormat="1" ht="15" customHeight="1" outlineLevel="1" collapsed="1" x14ac:dyDescent="0.25">
      <c r="A70" s="26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168650.94999999998</v>
      </c>
      <c r="E70" s="2"/>
      <c r="F70" s="6">
        <f t="shared" si="12"/>
        <v>0.13263573385986552</v>
      </c>
      <c r="G70" s="2"/>
      <c r="H70" s="2">
        <f>SUM(OSRRefH22_1x_0)</f>
        <v>156682.80475871527</v>
      </c>
      <c r="I70" s="2"/>
      <c r="J70" s="6">
        <f t="shared" si="13"/>
        <v>0.20392140128862701</v>
      </c>
      <c r="K70" s="2"/>
      <c r="L70" s="2">
        <f t="shared" si="14"/>
        <v>11968.145241284714</v>
      </c>
      <c r="M70" s="2"/>
      <c r="N70" s="6">
        <f t="shared" si="15"/>
        <v>7.6384548130314228E-2</v>
      </c>
      <c r="O70" s="14"/>
      <c r="P70" s="2">
        <f>SUM(OSRRefP22_1x_0)</f>
        <v>1965571.1</v>
      </c>
      <c r="Q70" s="2"/>
      <c r="R70" s="6">
        <f t="shared" si="16"/>
        <v>0.19648409592050367</v>
      </c>
      <c r="S70" s="2"/>
      <c r="T70" s="2">
        <f>SUM(OSRRefT22_1x_0)</f>
        <v>2022403.9773180461</v>
      </c>
      <c r="U70" s="2"/>
      <c r="V70" s="6">
        <f t="shared" si="17"/>
        <v>0.18778533954251056</v>
      </c>
      <c r="W70" s="2"/>
      <c r="X70" s="2">
        <f t="shared" si="18"/>
        <v>-56832.877318046056</v>
      </c>
      <c r="Y70" s="2"/>
      <c r="Z70" s="6">
        <f t="shared" si="19"/>
        <v>-2.810164435762897E-2</v>
      </c>
    </row>
    <row r="71" spans="1:26" s="70" customFormat="1" ht="15" hidden="1" customHeight="1" outlineLevel="2" x14ac:dyDescent="0.25">
      <c r="A71" s="25"/>
      <c r="B71" s="12" t="str">
        <f>CONCATENATE("          ","6001"," - ","ADMINISTRATIVE SALARIES")</f>
        <v xml:space="preserve">          6001 - ADMINISTRATIVE SALARIES</v>
      </c>
      <c r="C71" s="12"/>
      <c r="D71" s="8">
        <v>3726.6</v>
      </c>
      <c r="E71" s="3"/>
      <c r="F71" s="7">
        <f t="shared" si="12"/>
        <v>2.9307888618603979E-3</v>
      </c>
      <c r="G71" s="3"/>
      <c r="H71" s="8">
        <v>4139.8076923076896</v>
      </c>
      <c r="I71" s="3"/>
      <c r="J71" s="7">
        <f t="shared" si="13"/>
        <v>5.387926179779878E-3</v>
      </c>
      <c r="K71" s="3"/>
      <c r="L71" s="8">
        <f t="shared" si="14"/>
        <v>-413.20769230768974</v>
      </c>
      <c r="M71" s="3"/>
      <c r="N71" s="7">
        <f t="shared" si="15"/>
        <v>-9.9813257769312394E-2</v>
      </c>
      <c r="O71" s="12"/>
      <c r="P71" s="8">
        <v>51393.13</v>
      </c>
      <c r="Q71" s="3"/>
      <c r="R71" s="7">
        <f t="shared" si="16"/>
        <v>5.1374039252891504E-3</v>
      </c>
      <c r="S71" s="3"/>
      <c r="T71" s="8">
        <v>49677.692307692298</v>
      </c>
      <c r="U71" s="3"/>
      <c r="V71" s="7">
        <f t="shared" si="17"/>
        <v>4.6126997485731857E-3</v>
      </c>
      <c r="W71" s="3"/>
      <c r="X71" s="8">
        <f t="shared" si="18"/>
        <v>1715.4376923076998</v>
      </c>
      <c r="Y71" s="3"/>
      <c r="Z71" s="7">
        <f t="shared" si="19"/>
        <v>3.4531348229355538E-2</v>
      </c>
    </row>
    <row r="72" spans="1:26" s="70" customFormat="1" ht="15" hidden="1" customHeight="1" outlineLevel="2" x14ac:dyDescent="0.25">
      <c r="A72" s="25"/>
      <c r="B72" s="12" t="str">
        <f>CONCATENATE("          ","6002"," - ","STAFF SALARIES")</f>
        <v xml:space="preserve">          6002 - STAFF SALARIES</v>
      </c>
      <c r="C72" s="12"/>
      <c r="D72" s="8">
        <v>43903.360000000001</v>
      </c>
      <c r="E72" s="3"/>
      <c r="F72" s="7">
        <f t="shared" si="12"/>
        <v>3.4527848034736033E-2</v>
      </c>
      <c r="G72" s="3"/>
      <c r="H72" s="8">
        <v>42300.635173407602</v>
      </c>
      <c r="I72" s="3"/>
      <c r="J72" s="7">
        <f t="shared" si="13"/>
        <v>5.5053934050031436E-2</v>
      </c>
      <c r="K72" s="3"/>
      <c r="L72" s="8">
        <f t="shared" si="14"/>
        <v>1602.724826592399</v>
      </c>
      <c r="M72" s="3"/>
      <c r="N72" s="7">
        <f t="shared" si="15"/>
        <v>3.7888906869179971E-2</v>
      </c>
      <c r="O72" s="12"/>
      <c r="P72" s="8">
        <v>636357.36</v>
      </c>
      <c r="Q72" s="3"/>
      <c r="R72" s="7">
        <f t="shared" si="16"/>
        <v>6.3612097553712749E-2</v>
      </c>
      <c r="S72" s="3"/>
      <c r="T72" s="8">
        <v>525572.20861935394</v>
      </c>
      <c r="U72" s="3"/>
      <c r="V72" s="7">
        <f t="shared" si="17"/>
        <v>4.8800712793580357E-2</v>
      </c>
      <c r="W72" s="3"/>
      <c r="X72" s="8">
        <f t="shared" si="18"/>
        <v>110785.15138064604</v>
      </c>
      <c r="Y72" s="3"/>
      <c r="Z72" s="7">
        <f t="shared" si="19"/>
        <v>0.21078959192243416</v>
      </c>
    </row>
    <row r="73" spans="1:26" s="70" customFormat="1" ht="15" hidden="1" customHeight="1" outlineLevel="2" x14ac:dyDescent="0.25">
      <c r="A73" s="25"/>
      <c r="B73" s="12" t="str">
        <f>CONCATENATE("          ","6003"," - ","STAFF HOURLY-9 MONTH")</f>
        <v xml:space="preserve">          6003 - STAFF HOURLY-9 MONTH</v>
      </c>
      <c r="C73" s="12"/>
      <c r="D73" s="8"/>
      <c r="E73" s="3"/>
      <c r="F73" s="7">
        <f t="shared" si="12"/>
        <v>0</v>
      </c>
      <c r="G73" s="3"/>
      <c r="H73" s="8">
        <v>0</v>
      </c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25">
      <c r="A74" s="25"/>
      <c r="B74" s="12" t="str">
        <f>CONCATENATE("          ","6004"," - ","STAFF HOURLY")</f>
        <v xml:space="preserve">          6004 - STAFF HOURLY</v>
      </c>
      <c r="C74" s="12"/>
      <c r="D74" s="8">
        <v>31481.4</v>
      </c>
      <c r="E74" s="3"/>
      <c r="F74" s="7">
        <f t="shared" si="12"/>
        <v>2.4758583286580781E-2</v>
      </c>
      <c r="G74" s="3"/>
      <c r="H74" s="8">
        <v>39473.713567999999</v>
      </c>
      <c r="I74" s="3"/>
      <c r="J74" s="7">
        <f t="shared" si="13"/>
        <v>5.1374718478191549E-2</v>
      </c>
      <c r="K74" s="3"/>
      <c r="L74" s="8">
        <f t="shared" si="14"/>
        <v>-7992.3135679999978</v>
      </c>
      <c r="M74" s="3"/>
      <c r="N74" s="7">
        <f t="shared" si="15"/>
        <v>-0.20247179313980471</v>
      </c>
      <c r="O74" s="12"/>
      <c r="P74" s="8">
        <v>310592.52</v>
      </c>
      <c r="Q74" s="3"/>
      <c r="R74" s="7">
        <f t="shared" si="16"/>
        <v>3.1047714576120374E-2</v>
      </c>
      <c r="S74" s="3"/>
      <c r="T74" s="8">
        <v>460079.70061599999</v>
      </c>
      <c r="U74" s="3"/>
      <c r="V74" s="7">
        <f t="shared" si="17"/>
        <v>4.2719567290094074E-2</v>
      </c>
      <c r="W74" s="3"/>
      <c r="X74" s="8">
        <f t="shared" si="18"/>
        <v>-149487.18061599997</v>
      </c>
      <c r="Y74" s="3"/>
      <c r="Z74" s="7">
        <f t="shared" si="19"/>
        <v>-0.32491583613850344</v>
      </c>
    </row>
    <row r="75" spans="1:26" s="70" customFormat="1" ht="15" hidden="1" customHeight="1" outlineLevel="2" x14ac:dyDescent="0.25">
      <c r="A75" s="25"/>
      <c r="B75" s="12" t="str">
        <f>CONCATENATE("          ","6005"," - ","TEMPORARY WAGES-HOURLY")</f>
        <v xml:space="preserve">          6005 - TEMPORARY WAGES-HOURLY</v>
      </c>
      <c r="C75" s="12"/>
      <c r="D75" s="8">
        <v>4067.62</v>
      </c>
      <c r="E75" s="3"/>
      <c r="F75" s="7">
        <f t="shared" si="12"/>
        <v>3.1989844336071998E-3</v>
      </c>
      <c r="G75" s="3"/>
      <c r="H75" s="8">
        <v>2252.5</v>
      </c>
      <c r="I75" s="3"/>
      <c r="J75" s="7">
        <f t="shared" si="13"/>
        <v>2.9316105051220213E-3</v>
      </c>
      <c r="K75" s="3"/>
      <c r="L75" s="8">
        <f t="shared" si="14"/>
        <v>1815.12</v>
      </c>
      <c r="M75" s="3"/>
      <c r="N75" s="7">
        <f t="shared" si="15"/>
        <v>0.80582463928967807</v>
      </c>
      <c r="O75" s="12"/>
      <c r="P75" s="8">
        <v>97481.13</v>
      </c>
      <c r="Q75" s="3"/>
      <c r="R75" s="7">
        <f t="shared" si="16"/>
        <v>9.7444919175699567E-3</v>
      </c>
      <c r="S75" s="3"/>
      <c r="T75" s="8">
        <v>33631.5</v>
      </c>
      <c r="U75" s="3"/>
      <c r="V75" s="7">
        <f t="shared" si="17"/>
        <v>3.1227700882981197E-3</v>
      </c>
      <c r="W75" s="3"/>
      <c r="X75" s="8">
        <f t="shared" si="18"/>
        <v>63849.630000000005</v>
      </c>
      <c r="Y75" s="3"/>
      <c r="Z75" s="7">
        <f t="shared" si="19"/>
        <v>1.8985067570581153</v>
      </c>
    </row>
    <row r="76" spans="1:26" s="70" customFormat="1" ht="15" hidden="1" customHeight="1" outlineLevel="2" x14ac:dyDescent="0.25">
      <c r="A76" s="25"/>
      <c r="B76" s="12" t="str">
        <f>CONCATENATE("          ","6006"," - ","TEMPORARY PART TIME")</f>
        <v xml:space="preserve">          6006 - TEMPORARY PART TIME</v>
      </c>
      <c r="C76" s="12"/>
      <c r="D76" s="8">
        <v>1520.8</v>
      </c>
      <c r="E76" s="3"/>
      <c r="F76" s="7">
        <f t="shared" si="12"/>
        <v>1.1960349114789064E-3</v>
      </c>
      <c r="G76" s="3"/>
      <c r="H76" s="8">
        <v>0</v>
      </c>
      <c r="I76" s="3"/>
      <c r="J76" s="7">
        <f t="shared" si="13"/>
        <v>0</v>
      </c>
      <c r="K76" s="3"/>
      <c r="L76" s="8">
        <f t="shared" si="14"/>
        <v>1520.8</v>
      </c>
      <c r="M76" s="3"/>
      <c r="N76" s="7">
        <f t="shared" si="15"/>
        <v>0</v>
      </c>
      <c r="O76" s="12"/>
      <c r="P76" s="8">
        <v>19354.939999999999</v>
      </c>
      <c r="Q76" s="3"/>
      <c r="R76" s="7">
        <f t="shared" si="16"/>
        <v>1.9347750317938602E-3</v>
      </c>
      <c r="S76" s="3"/>
      <c r="T76" s="8">
        <v>0</v>
      </c>
      <c r="U76" s="3"/>
      <c r="V76" s="7">
        <f t="shared" si="17"/>
        <v>0</v>
      </c>
      <c r="W76" s="3"/>
      <c r="X76" s="8">
        <f t="shared" si="18"/>
        <v>19354.939999999999</v>
      </c>
      <c r="Y76" s="3"/>
      <c r="Z76" s="7">
        <f t="shared" si="19"/>
        <v>0</v>
      </c>
    </row>
    <row r="77" spans="1:26" s="70" customFormat="1" ht="15" hidden="1" customHeight="1" outlineLevel="2" x14ac:dyDescent="0.25">
      <c r="A77" s="25"/>
      <c r="B77" s="12" t="str">
        <f>CONCATENATE("          ","6007"," - ","STUDENT HOURLY")</f>
        <v xml:space="preserve">          6007 - STUDENT HOURLY</v>
      </c>
      <c r="C77" s="12"/>
      <c r="D77" s="8">
        <v>73880.08</v>
      </c>
      <c r="E77" s="3"/>
      <c r="F77" s="7">
        <f t="shared" si="12"/>
        <v>5.8103074002403034E-2</v>
      </c>
      <c r="G77" s="3"/>
      <c r="H77" s="8">
        <v>30466.416000000001</v>
      </c>
      <c r="I77" s="3"/>
      <c r="J77" s="7">
        <f t="shared" si="13"/>
        <v>3.9651793651062216E-2</v>
      </c>
      <c r="K77" s="3"/>
      <c r="L77" s="8">
        <f t="shared" si="14"/>
        <v>43413.664000000004</v>
      </c>
      <c r="M77" s="3"/>
      <c r="N77" s="7">
        <f t="shared" si="15"/>
        <v>1.4249678728210107</v>
      </c>
      <c r="O77" s="12"/>
      <c r="P77" s="8">
        <v>727194.49</v>
      </c>
      <c r="Q77" s="3"/>
      <c r="R77" s="7">
        <f t="shared" si="16"/>
        <v>7.26924362726038E-2</v>
      </c>
      <c r="S77" s="3"/>
      <c r="T77" s="8">
        <v>405874.962</v>
      </c>
      <c r="U77" s="3"/>
      <c r="V77" s="7">
        <f t="shared" si="17"/>
        <v>3.7686519807999523E-2</v>
      </c>
      <c r="W77" s="3"/>
      <c r="X77" s="8">
        <f t="shared" si="18"/>
        <v>321319.52799999999</v>
      </c>
      <c r="Y77" s="3"/>
      <c r="Z77" s="7">
        <f t="shared" si="19"/>
        <v>0.79167122410472812</v>
      </c>
    </row>
    <row r="78" spans="1:26" s="70" customFormat="1" ht="15" hidden="1" customHeight="1" outlineLevel="2" x14ac:dyDescent="0.25">
      <c r="A78" s="25"/>
      <c r="B78" s="12" t="str">
        <f>CONCATENATE("          ","6008"," - ","STUDENT HOURLY-FICA EXEMPT")</f>
        <v xml:space="preserve">          6008 - STUDENT HOURLY-FICA EXEMPT</v>
      </c>
      <c r="C78" s="12"/>
      <c r="D78" s="8">
        <v>10071.09</v>
      </c>
      <c r="E78" s="3"/>
      <c r="F78" s="7">
        <f t="shared" si="12"/>
        <v>7.9204203291991723E-3</v>
      </c>
      <c r="G78" s="3"/>
      <c r="H78" s="8">
        <v>38049.732324999997</v>
      </c>
      <c r="I78" s="3"/>
      <c r="J78" s="7">
        <f t="shared" si="13"/>
        <v>4.9521418424439932E-2</v>
      </c>
      <c r="K78" s="3"/>
      <c r="L78" s="8">
        <f t="shared" si="14"/>
        <v>-27978.642324999997</v>
      </c>
      <c r="M78" s="3"/>
      <c r="N78" s="7">
        <f t="shared" si="15"/>
        <v>-0.73531771750775388</v>
      </c>
      <c r="O78" s="12"/>
      <c r="P78" s="8">
        <v>123197.53</v>
      </c>
      <c r="Q78" s="3"/>
      <c r="R78" s="7">
        <f t="shared" si="16"/>
        <v>1.2315176643413778E-2</v>
      </c>
      <c r="S78" s="3"/>
      <c r="T78" s="8">
        <v>547567.91377500002</v>
      </c>
      <c r="U78" s="3"/>
      <c r="V78" s="7">
        <f t="shared" si="17"/>
        <v>5.0843069813965303E-2</v>
      </c>
      <c r="W78" s="3"/>
      <c r="X78" s="8">
        <f t="shared" si="18"/>
        <v>-424370.38377499999</v>
      </c>
      <c r="Y78" s="3"/>
      <c r="Z78" s="7">
        <f t="shared" si="19"/>
        <v>-0.77500958894639893</v>
      </c>
    </row>
    <row r="79" spans="1:26" s="70" customFormat="1" ht="15" hidden="1" customHeight="1" outlineLevel="2" x14ac:dyDescent="0.25">
      <c r="A79" s="25"/>
      <c r="B79" s="12" t="str">
        <f>CONCATENATE("          ","6009"," - ","TEMPORARY-SEASONAL")</f>
        <v xml:space="preserve">          6009 - TEMPORARY-SEASONAL</v>
      </c>
      <c r="C79" s="12"/>
      <c r="D79" s="8"/>
      <c r="E79" s="3"/>
      <c r="F79" s="7">
        <f t="shared" si="12"/>
        <v>0</v>
      </c>
      <c r="G79" s="3"/>
      <c r="H79" s="8">
        <v>0</v>
      </c>
      <c r="I79" s="3"/>
      <c r="J79" s="7">
        <f t="shared" si="13"/>
        <v>0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/>
      <c r="Q79" s="3"/>
      <c r="R79" s="7">
        <f t="shared" si="16"/>
        <v>0</v>
      </c>
      <c r="S79" s="3"/>
      <c r="T79" s="8">
        <v>0</v>
      </c>
      <c r="U79" s="3"/>
      <c r="V79" s="7">
        <f t="shared" si="17"/>
        <v>0</v>
      </c>
      <c r="W79" s="3"/>
      <c r="X79" s="8">
        <f t="shared" si="18"/>
        <v>0</v>
      </c>
      <c r="Y79" s="3"/>
      <c r="Z79" s="7">
        <f t="shared" si="19"/>
        <v>0</v>
      </c>
    </row>
    <row r="80" spans="1:26" s="70" customFormat="1" ht="15" hidden="1" customHeight="1" outlineLevel="2" x14ac:dyDescent="0.25">
      <c r="A80" s="25"/>
      <c r="B80" s="12" t="str">
        <f>CONCATENATE("          ","6010"," - ","GRATUITY")</f>
        <v xml:space="preserve">          6010 - GRATUITY</v>
      </c>
      <c r="C80" s="12"/>
      <c r="D80" s="8"/>
      <c r="E80" s="3"/>
      <c r="F80" s="7">
        <f t="shared" si="12"/>
        <v>0</v>
      </c>
      <c r="G80" s="3"/>
      <c r="H80" s="8">
        <v>0</v>
      </c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0</v>
      </c>
      <c r="U80" s="3"/>
      <c r="V80" s="7">
        <f t="shared" si="17"/>
        <v>0</v>
      </c>
      <c r="W80" s="3"/>
      <c r="X80" s="8">
        <f t="shared" si="18"/>
        <v>0</v>
      </c>
      <c r="Y80" s="3"/>
      <c r="Z80" s="7">
        <f t="shared" si="19"/>
        <v>0</v>
      </c>
    </row>
    <row r="81" spans="1:26" s="69" customFormat="1" ht="15" customHeight="1" outlineLevel="1" collapsed="1" x14ac:dyDescent="0.25">
      <c r="A81" s="26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1311.69</v>
      </c>
      <c r="E81" s="2"/>
      <c r="F81" s="6">
        <f t="shared" si="12"/>
        <v>1.0315801111505569E-3</v>
      </c>
      <c r="G81" s="2"/>
      <c r="H81" s="2">
        <f>SUM(OSRRefH22_2x_0)</f>
        <v>600</v>
      </c>
      <c r="I81" s="2"/>
      <c r="J81" s="6">
        <f t="shared" si="13"/>
        <v>7.8089514009909561E-4</v>
      </c>
      <c r="K81" s="2"/>
      <c r="L81" s="2">
        <f t="shared" si="14"/>
        <v>711.69</v>
      </c>
      <c r="M81" s="2"/>
      <c r="N81" s="6">
        <f t="shared" si="15"/>
        <v>1.18615</v>
      </c>
      <c r="O81" s="14"/>
      <c r="P81" s="2">
        <f>SUM(OSRRefP22_2x_0)</f>
        <v>13700.94</v>
      </c>
      <c r="Q81" s="2"/>
      <c r="R81" s="6">
        <f t="shared" si="16"/>
        <v>1.3695850580836611E-3</v>
      </c>
      <c r="S81" s="2"/>
      <c r="T81" s="2">
        <f>SUM(OSRRefT22_2x_0)</f>
        <v>9000</v>
      </c>
      <c r="U81" s="2"/>
      <c r="V81" s="6">
        <f t="shared" si="17"/>
        <v>8.356728303728076E-4</v>
      </c>
      <c r="W81" s="2"/>
      <c r="X81" s="2">
        <f t="shared" si="18"/>
        <v>4700.9400000000005</v>
      </c>
      <c r="Y81" s="2"/>
      <c r="Z81" s="6">
        <f t="shared" si="19"/>
        <v>0.52232666666666672</v>
      </c>
    </row>
    <row r="82" spans="1:26" s="70" customFormat="1" ht="15" hidden="1" customHeight="1" outlineLevel="2" x14ac:dyDescent="0.25">
      <c r="A82" s="25"/>
      <c r="B82" s="12" t="str">
        <f>CONCATENATE("          ","6362"," - ","ADVERTISING EXPENSE")</f>
        <v xml:space="preserve">          6362 - ADVERTISING EXPENSE</v>
      </c>
      <c r="C82" s="12"/>
      <c r="D82" s="8">
        <v>1311.69</v>
      </c>
      <c r="E82" s="3"/>
      <c r="F82" s="7">
        <f t="shared" si="12"/>
        <v>1.0315801111505569E-3</v>
      </c>
      <c r="G82" s="3"/>
      <c r="H82" s="8">
        <v>600</v>
      </c>
      <c r="I82" s="3"/>
      <c r="J82" s="7">
        <f t="shared" si="13"/>
        <v>7.8089514009909561E-4</v>
      </c>
      <c r="K82" s="3"/>
      <c r="L82" s="8">
        <f t="shared" si="14"/>
        <v>711.69</v>
      </c>
      <c r="M82" s="3"/>
      <c r="N82" s="7">
        <f t="shared" si="15"/>
        <v>1.18615</v>
      </c>
      <c r="O82" s="12"/>
      <c r="P82" s="8">
        <v>13700.94</v>
      </c>
      <c r="Q82" s="3"/>
      <c r="R82" s="7">
        <f t="shared" si="16"/>
        <v>1.3695850580836611E-3</v>
      </c>
      <c r="S82" s="3"/>
      <c r="T82" s="8">
        <v>9000</v>
      </c>
      <c r="U82" s="3"/>
      <c r="V82" s="7">
        <f t="shared" si="17"/>
        <v>8.356728303728076E-4</v>
      </c>
      <c r="W82" s="3"/>
      <c r="X82" s="8">
        <f t="shared" si="18"/>
        <v>4700.9400000000005</v>
      </c>
      <c r="Y82" s="3"/>
      <c r="Z82" s="7">
        <f t="shared" si="19"/>
        <v>0.52232666666666672</v>
      </c>
    </row>
    <row r="83" spans="1:26" s="69" customFormat="1" ht="15" customHeight="1" outlineLevel="1" collapsed="1" x14ac:dyDescent="0.25">
      <c r="A83" s="26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23.48</v>
      </c>
      <c r="E83" s="2"/>
      <c r="F83" s="6">
        <f t="shared" si="12"/>
        <v>1.8465873041507577E-5</v>
      </c>
      <c r="G83" s="2"/>
      <c r="H83" s="2">
        <f>SUM(OSRRefH22_3x_0)</f>
        <v>235</v>
      </c>
      <c r="I83" s="2"/>
      <c r="J83" s="6">
        <f t="shared" si="13"/>
        <v>3.0585059653881241E-4</v>
      </c>
      <c r="K83" s="2"/>
      <c r="L83" s="2">
        <f t="shared" si="14"/>
        <v>-211.52</v>
      </c>
      <c r="M83" s="2"/>
      <c r="N83" s="6">
        <f t="shared" si="15"/>
        <v>-0.90008510638297878</v>
      </c>
      <c r="O83" s="14"/>
      <c r="P83" s="2">
        <f>SUM(OSRRefP22_3x_0)</f>
        <v>30.24</v>
      </c>
      <c r="Q83" s="2"/>
      <c r="R83" s="6">
        <f t="shared" si="16"/>
        <v>3.0228766899533834E-6</v>
      </c>
      <c r="S83" s="2"/>
      <c r="T83" s="2">
        <f>SUM(OSRRefT22_3x_0)</f>
        <v>2585</v>
      </c>
      <c r="U83" s="2"/>
      <c r="V83" s="6">
        <f t="shared" si="17"/>
        <v>2.4002380739041195E-4</v>
      </c>
      <c r="W83" s="2"/>
      <c r="X83" s="2">
        <f t="shared" si="18"/>
        <v>-2554.7600000000002</v>
      </c>
      <c r="Y83" s="2"/>
      <c r="Z83" s="6">
        <f t="shared" si="19"/>
        <v>-0.9883017408123792</v>
      </c>
    </row>
    <row r="84" spans="1:26" s="70" customFormat="1" ht="15" hidden="1" customHeight="1" outlineLevel="2" x14ac:dyDescent="0.25">
      <c r="A84" s="25"/>
      <c r="B84" s="12" t="str">
        <f>CONCATENATE("          ","6272"," - ","CASH (OVER/SHORT)")</f>
        <v xml:space="preserve">          6272 - CASH (OVER/SHORT)</v>
      </c>
      <c r="C84" s="12"/>
      <c r="D84" s="8">
        <v>23.48</v>
      </c>
      <c r="E84" s="3"/>
      <c r="F84" s="7">
        <f t="shared" si="12"/>
        <v>1.8465873041507577E-5</v>
      </c>
      <c r="G84" s="3"/>
      <c r="H84" s="8">
        <v>235</v>
      </c>
      <c r="I84" s="3"/>
      <c r="J84" s="7">
        <f t="shared" si="13"/>
        <v>3.0585059653881241E-4</v>
      </c>
      <c r="K84" s="3"/>
      <c r="L84" s="8">
        <f t="shared" si="14"/>
        <v>-211.52</v>
      </c>
      <c r="M84" s="3"/>
      <c r="N84" s="7">
        <f t="shared" si="15"/>
        <v>-0.90008510638297878</v>
      </c>
      <c r="O84" s="12"/>
      <c r="P84" s="8">
        <v>30.24</v>
      </c>
      <c r="Q84" s="3"/>
      <c r="R84" s="7">
        <f t="shared" si="16"/>
        <v>3.0228766899533834E-6</v>
      </c>
      <c r="S84" s="3"/>
      <c r="T84" s="8">
        <v>2585</v>
      </c>
      <c r="U84" s="3"/>
      <c r="V84" s="7">
        <f t="shared" si="17"/>
        <v>2.4002380739041195E-4</v>
      </c>
      <c r="W84" s="3"/>
      <c r="X84" s="8">
        <f t="shared" si="18"/>
        <v>-2554.7600000000002</v>
      </c>
      <c r="Y84" s="3"/>
      <c r="Z84" s="7">
        <f t="shared" si="19"/>
        <v>-0.9883017408123792</v>
      </c>
    </row>
    <row r="85" spans="1:26" s="69" customFormat="1" ht="15" customHeight="1" outlineLevel="1" collapsed="1" x14ac:dyDescent="0.25">
      <c r="A85" s="26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16090.22</v>
      </c>
      <c r="E85" s="2"/>
      <c r="F85" s="6">
        <f t="shared" si="12"/>
        <v>1.2654172049826492E-2</v>
      </c>
      <c r="G85" s="2"/>
      <c r="H85" s="2">
        <f>SUM(OSRRefH22_4x_0)</f>
        <v>13471</v>
      </c>
      <c r="I85" s="2"/>
      <c r="J85" s="6">
        <f t="shared" si="13"/>
        <v>1.7532397387124862E-2</v>
      </c>
      <c r="K85" s="2"/>
      <c r="L85" s="2">
        <f t="shared" si="14"/>
        <v>2619.2199999999993</v>
      </c>
      <c r="M85" s="2"/>
      <c r="N85" s="6">
        <f t="shared" si="15"/>
        <v>0.19443396926731493</v>
      </c>
      <c r="O85" s="14"/>
      <c r="P85" s="2">
        <f>SUM(OSRRefP22_4x_0)</f>
        <v>142870.16</v>
      </c>
      <c r="Q85" s="2"/>
      <c r="R85" s="6">
        <f t="shared" si="16"/>
        <v>1.4281708874137246E-2</v>
      </c>
      <c r="S85" s="2"/>
      <c r="T85" s="2">
        <f>SUM(OSRRefT22_4x_0)</f>
        <v>176988</v>
      </c>
      <c r="U85" s="2"/>
      <c r="V85" s="6">
        <f t="shared" si="17"/>
        <v>1.6433784766891384E-2</v>
      </c>
      <c r="W85" s="2"/>
      <c r="X85" s="2">
        <f t="shared" si="18"/>
        <v>-34117.839999999997</v>
      </c>
      <c r="Y85" s="2"/>
      <c r="Z85" s="6">
        <f t="shared" si="19"/>
        <v>-0.19276922729224577</v>
      </c>
    </row>
    <row r="86" spans="1:26" s="70" customFormat="1" ht="15" hidden="1" customHeight="1" outlineLevel="2" x14ac:dyDescent="0.25">
      <c r="A86" s="25"/>
      <c r="B86" s="12" t="str">
        <f>CONCATENATE("          ","6381"," - ","BANK/CREDIT CARD FEES")</f>
        <v xml:space="preserve">          6381 - BANK/CREDIT CARD FEES</v>
      </c>
      <c r="C86" s="12"/>
      <c r="D86" s="8">
        <v>16090.22</v>
      </c>
      <c r="E86" s="3"/>
      <c r="F86" s="7">
        <f t="shared" si="12"/>
        <v>1.2654172049826492E-2</v>
      </c>
      <c r="G86" s="3"/>
      <c r="H86" s="8">
        <v>13471</v>
      </c>
      <c r="I86" s="3"/>
      <c r="J86" s="7">
        <f t="shared" si="13"/>
        <v>1.7532397387124862E-2</v>
      </c>
      <c r="K86" s="3"/>
      <c r="L86" s="8">
        <f t="shared" si="14"/>
        <v>2619.2199999999993</v>
      </c>
      <c r="M86" s="3"/>
      <c r="N86" s="7">
        <f t="shared" si="15"/>
        <v>0.19443396926731493</v>
      </c>
      <c r="O86" s="12"/>
      <c r="P86" s="8">
        <v>142870.16</v>
      </c>
      <c r="Q86" s="3"/>
      <c r="R86" s="7">
        <f t="shared" si="16"/>
        <v>1.4281708874137246E-2</v>
      </c>
      <c r="S86" s="3"/>
      <c r="T86" s="8">
        <v>176988</v>
      </c>
      <c r="U86" s="3"/>
      <c r="V86" s="7">
        <f t="shared" si="17"/>
        <v>1.6433784766891384E-2</v>
      </c>
      <c r="W86" s="3"/>
      <c r="X86" s="8">
        <f t="shared" si="18"/>
        <v>-34117.839999999997</v>
      </c>
      <c r="Y86" s="3"/>
      <c r="Z86" s="7">
        <f t="shared" si="19"/>
        <v>-0.19276922729224577</v>
      </c>
    </row>
    <row r="87" spans="1:26" s="69" customFormat="1" ht="15" customHeight="1" outlineLevel="1" collapsed="1" x14ac:dyDescent="0.25">
      <c r="A87" s="26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16660.489999999998</v>
      </c>
      <c r="E87" s="2"/>
      <c r="F87" s="6">
        <f t="shared" si="12"/>
        <v>1.3102661548096532E-2</v>
      </c>
      <c r="G87" s="2"/>
      <c r="H87" s="2">
        <f>SUM(OSRRefH22_5x_0)</f>
        <v>16259</v>
      </c>
      <c r="I87" s="2"/>
      <c r="J87" s="6">
        <f t="shared" si="13"/>
        <v>2.1160956804785327E-2</v>
      </c>
      <c r="K87" s="2"/>
      <c r="L87" s="2">
        <f t="shared" si="14"/>
        <v>401.48999999999796</v>
      </c>
      <c r="M87" s="2"/>
      <c r="N87" s="6">
        <f t="shared" si="15"/>
        <v>2.4693400578141213E-2</v>
      </c>
      <c r="O87" s="14"/>
      <c r="P87" s="2">
        <f>SUM(OSRRefP22_5x_0)</f>
        <v>303281.51</v>
      </c>
      <c r="Q87" s="2"/>
      <c r="R87" s="6">
        <f t="shared" si="16"/>
        <v>3.0316885154525925E-2</v>
      </c>
      <c r="S87" s="2"/>
      <c r="T87" s="2">
        <f>SUM(OSRRefT22_5x_0)</f>
        <v>298866</v>
      </c>
      <c r="U87" s="2"/>
      <c r="V87" s="6">
        <f t="shared" si="17"/>
        <v>2.7750466235799947E-2</v>
      </c>
      <c r="W87" s="2"/>
      <c r="X87" s="2">
        <f t="shared" si="18"/>
        <v>4415.5100000000093</v>
      </c>
      <c r="Y87" s="2"/>
      <c r="Z87" s="6">
        <f t="shared" si="19"/>
        <v>1.4774213192534478E-2</v>
      </c>
    </row>
    <row r="88" spans="1:26" s="70" customFormat="1" ht="15" hidden="1" customHeight="1" outlineLevel="2" x14ac:dyDescent="0.25">
      <c r="A88" s="25"/>
      <c r="B88" s="12" t="str">
        <f>CONCATENATE("          ","6321"," - ","BUILDING DEPRECIATION")</f>
        <v xml:space="preserve">          6321 - BUILDING DEPRECIATION</v>
      </c>
      <c r="C88" s="12"/>
      <c r="D88" s="8">
        <v>13321.71</v>
      </c>
      <c r="E88" s="3"/>
      <c r="F88" s="7">
        <f t="shared" si="12"/>
        <v>1.0476874171881683E-2</v>
      </c>
      <c r="G88" s="3"/>
      <c r="H88" s="8"/>
      <c r="I88" s="3"/>
      <c r="J88" s="7">
        <f t="shared" si="13"/>
        <v>0</v>
      </c>
      <c r="K88" s="3"/>
      <c r="L88" s="8">
        <f t="shared" si="14"/>
        <v>13321.71</v>
      </c>
      <c r="M88" s="3"/>
      <c r="N88" s="7">
        <f t="shared" si="15"/>
        <v>0</v>
      </c>
      <c r="O88" s="12"/>
      <c r="P88" s="8">
        <v>165797.54999999999</v>
      </c>
      <c r="Q88" s="3"/>
      <c r="R88" s="7">
        <f t="shared" si="16"/>
        <v>1.6573596201930572E-2</v>
      </c>
      <c r="S88" s="3"/>
      <c r="T88" s="8"/>
      <c r="U88" s="3"/>
      <c r="V88" s="7">
        <f t="shared" si="17"/>
        <v>0</v>
      </c>
      <c r="W88" s="3"/>
      <c r="X88" s="8">
        <f t="shared" si="18"/>
        <v>165797.54999999999</v>
      </c>
      <c r="Y88" s="3"/>
      <c r="Z88" s="7">
        <f t="shared" si="19"/>
        <v>0</v>
      </c>
    </row>
    <row r="89" spans="1:26" s="70" customFormat="1" ht="15" hidden="1" customHeight="1" outlineLevel="2" x14ac:dyDescent="0.25">
      <c r="A89" s="25"/>
      <c r="B89" s="12" t="str">
        <f>CONCATENATE("          ","6322"," - ","EQUIPMENT DEPRECIATION EXPENSE")</f>
        <v xml:space="preserve">          6322 - EQUIPMENT DEPRECIATION EXPENSE</v>
      </c>
      <c r="C89" s="12"/>
      <c r="D89" s="8">
        <v>3338.78</v>
      </c>
      <c r="E89" s="3"/>
      <c r="F89" s="7">
        <f t="shared" si="12"/>
        <v>2.6257873762148497E-3</v>
      </c>
      <c r="G89" s="3"/>
      <c r="H89" s="8">
        <v>16259</v>
      </c>
      <c r="I89" s="3"/>
      <c r="J89" s="7">
        <f t="shared" si="13"/>
        <v>2.1160956804785327E-2</v>
      </c>
      <c r="K89" s="3"/>
      <c r="L89" s="8">
        <f t="shared" si="14"/>
        <v>-12920.22</v>
      </c>
      <c r="M89" s="3"/>
      <c r="N89" s="7">
        <f t="shared" si="15"/>
        <v>-0.7946503474998462</v>
      </c>
      <c r="O89" s="12"/>
      <c r="P89" s="8">
        <v>137483.96</v>
      </c>
      <c r="Q89" s="3"/>
      <c r="R89" s="7">
        <f t="shared" si="16"/>
        <v>1.3743288952595349E-2</v>
      </c>
      <c r="S89" s="3"/>
      <c r="T89" s="8">
        <v>298866</v>
      </c>
      <c r="U89" s="3"/>
      <c r="V89" s="7">
        <f t="shared" si="17"/>
        <v>2.7750466235799947E-2</v>
      </c>
      <c r="W89" s="3"/>
      <c r="X89" s="8">
        <f t="shared" si="18"/>
        <v>-161382.04</v>
      </c>
      <c r="Y89" s="3"/>
      <c r="Z89" s="7">
        <f t="shared" si="19"/>
        <v>-0.53998126250560452</v>
      </c>
    </row>
    <row r="90" spans="1:26" s="69" customFormat="1" ht="15" customHeight="1" outlineLevel="1" collapsed="1" x14ac:dyDescent="0.25">
      <c r="A90" s="26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-17.57</v>
      </c>
      <c r="E90" s="2"/>
      <c r="F90" s="6">
        <f t="shared" ref="F90:F121" si="20">IF(D$12=0,0,D90/D$12)</f>
        <v>-1.381794673506338E-5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-17.57</v>
      </c>
      <c r="M90" s="2"/>
      <c r="N90" s="6">
        <f t="shared" ref="N90:N121" si="23">IF(H90=0,0,L90/H90)</f>
        <v>0</v>
      </c>
      <c r="O90" s="14"/>
      <c r="P90" s="2">
        <f>SUM(OSRRefP22_6x_0)</f>
        <v>1989.08</v>
      </c>
      <c r="Q90" s="2"/>
      <c r="R90" s="6">
        <f t="shared" ref="R90:R121" si="24">IF(P$12=0,0,P90/P$12)</f>
        <v>1.9883411264723795E-4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1989.08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25">
      <c r="A91" s="25"/>
      <c r="B91" s="12" t="str">
        <f>CONCATENATE("          ","6382"," - ","DISCOUNTS/MARK DOWNS")</f>
        <v xml:space="preserve">          6382 - DISCOUNTS/MARK DOWNS</v>
      </c>
      <c r="C91" s="12"/>
      <c r="D91" s="8"/>
      <c r="E91" s="3"/>
      <c r="F91" s="7">
        <f t="shared" si="20"/>
        <v>0</v>
      </c>
      <c r="G91" s="3"/>
      <c r="H91" s="8"/>
      <c r="I91" s="3"/>
      <c r="J91" s="7">
        <f t="shared" si="21"/>
        <v>0</v>
      </c>
      <c r="K91" s="3"/>
      <c r="L91" s="8">
        <f t="shared" si="22"/>
        <v>0</v>
      </c>
      <c r="M91" s="3"/>
      <c r="N91" s="7">
        <f t="shared" si="23"/>
        <v>0</v>
      </c>
      <c r="O91" s="12"/>
      <c r="P91" s="8">
        <v>2171.35</v>
      </c>
      <c r="Q91" s="3"/>
      <c r="R91" s="7">
        <f t="shared" si="24"/>
        <v>2.1705434195536637E-4</v>
      </c>
      <c r="S91" s="3"/>
      <c r="T91" s="8">
        <v>0</v>
      </c>
      <c r="U91" s="3"/>
      <c r="V91" s="7">
        <f t="shared" si="25"/>
        <v>0</v>
      </c>
      <c r="W91" s="3"/>
      <c r="X91" s="8">
        <f t="shared" si="26"/>
        <v>2171.35</v>
      </c>
      <c r="Y91" s="3"/>
      <c r="Z91" s="7">
        <f t="shared" si="27"/>
        <v>0</v>
      </c>
    </row>
    <row r="92" spans="1:26" s="70" customFormat="1" ht="15" hidden="1" customHeight="1" outlineLevel="2" x14ac:dyDescent="0.25">
      <c r="A92" s="25"/>
      <c r="B92" s="12" t="str">
        <f>CONCATENATE("          ","9175"," - ","EARNED DISCOUNTS")</f>
        <v xml:space="preserve">          9175 - EARNED DISCOUNTS</v>
      </c>
      <c r="C92" s="12"/>
      <c r="D92" s="8">
        <v>-17.57</v>
      </c>
      <c r="E92" s="3"/>
      <c r="F92" s="7">
        <f t="shared" si="20"/>
        <v>-1.381794673506338E-5</v>
      </c>
      <c r="G92" s="3"/>
      <c r="H92" s="8"/>
      <c r="I92" s="3"/>
      <c r="J92" s="7">
        <f t="shared" si="21"/>
        <v>0</v>
      </c>
      <c r="K92" s="3"/>
      <c r="L92" s="8">
        <f t="shared" si="22"/>
        <v>-17.57</v>
      </c>
      <c r="M92" s="3"/>
      <c r="N92" s="7">
        <f t="shared" si="23"/>
        <v>0</v>
      </c>
      <c r="O92" s="12"/>
      <c r="P92" s="8">
        <v>-182.27</v>
      </c>
      <c r="Q92" s="3"/>
      <c r="R92" s="7">
        <f t="shared" si="24"/>
        <v>-1.8220229308128412E-5</v>
      </c>
      <c r="S92" s="3"/>
      <c r="T92" s="8"/>
      <c r="U92" s="3"/>
      <c r="V92" s="7">
        <f t="shared" si="25"/>
        <v>0</v>
      </c>
      <c r="W92" s="3"/>
      <c r="X92" s="8">
        <f t="shared" si="26"/>
        <v>-182.27</v>
      </c>
      <c r="Y92" s="3"/>
      <c r="Z92" s="7">
        <f t="shared" si="27"/>
        <v>0</v>
      </c>
    </row>
    <row r="93" spans="1:26" s="69" customFormat="1" ht="15" customHeight="1" outlineLevel="1" collapsed="1" x14ac:dyDescent="0.25">
      <c r="A93" s="26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132.07</v>
      </c>
      <c r="E93" s="2"/>
      <c r="F93" s="6">
        <f t="shared" si="20"/>
        <v>1.038666036027217E-4</v>
      </c>
      <c r="G93" s="2"/>
      <c r="H93" s="2">
        <f>SUM(OSRRefH22_7x_0)</f>
        <v>1250</v>
      </c>
      <c r="I93" s="2"/>
      <c r="J93" s="6">
        <f t="shared" si="21"/>
        <v>1.6268648752064492E-3</v>
      </c>
      <c r="K93" s="2"/>
      <c r="L93" s="2">
        <f t="shared" si="22"/>
        <v>-1117.93</v>
      </c>
      <c r="M93" s="2"/>
      <c r="N93" s="6">
        <f t="shared" si="23"/>
        <v>-0.89434400000000003</v>
      </c>
      <c r="O93" s="14"/>
      <c r="P93" s="2">
        <f>SUM(OSRRefP22_7x_0)</f>
        <v>7438.87</v>
      </c>
      <c r="Q93" s="2"/>
      <c r="R93" s="6">
        <f t="shared" si="24"/>
        <v>7.4361067204343665E-4</v>
      </c>
      <c r="S93" s="2"/>
      <c r="T93" s="2">
        <f>SUM(OSRRefT22_7x_0)</f>
        <v>13750</v>
      </c>
      <c r="U93" s="2"/>
      <c r="V93" s="6">
        <f t="shared" si="25"/>
        <v>1.2767223797362339E-3</v>
      </c>
      <c r="W93" s="2"/>
      <c r="X93" s="2">
        <f t="shared" si="26"/>
        <v>-6311.13</v>
      </c>
      <c r="Y93" s="2"/>
      <c r="Z93" s="6">
        <f t="shared" si="27"/>
        <v>-0.45899127272727275</v>
      </c>
    </row>
    <row r="94" spans="1:26" s="70" customFormat="1" ht="15" hidden="1" customHeight="1" outlineLevel="2" x14ac:dyDescent="0.25">
      <c r="A94" s="25"/>
      <c r="B94" s="12" t="str">
        <f>CONCATENATE("          ","6399"," - ","DONATION-ON CAMPUS")</f>
        <v xml:space="preserve">          6399 - DONATION-ON CAMPUS</v>
      </c>
      <c r="C94" s="12"/>
      <c r="D94" s="8">
        <v>132.07</v>
      </c>
      <c r="E94" s="3"/>
      <c r="F94" s="7">
        <f t="shared" si="20"/>
        <v>1.038666036027217E-4</v>
      </c>
      <c r="G94" s="3"/>
      <c r="H94" s="8">
        <v>1250</v>
      </c>
      <c r="I94" s="3"/>
      <c r="J94" s="7">
        <f t="shared" si="21"/>
        <v>1.6268648752064492E-3</v>
      </c>
      <c r="K94" s="3"/>
      <c r="L94" s="8">
        <f t="shared" si="22"/>
        <v>-1117.93</v>
      </c>
      <c r="M94" s="3"/>
      <c r="N94" s="7">
        <f t="shared" si="23"/>
        <v>-0.89434400000000003</v>
      </c>
      <c r="O94" s="12"/>
      <c r="P94" s="8">
        <v>7438.87</v>
      </c>
      <c r="Q94" s="3"/>
      <c r="R94" s="7">
        <f t="shared" si="24"/>
        <v>7.4361067204343665E-4</v>
      </c>
      <c r="S94" s="3"/>
      <c r="T94" s="8">
        <v>13750</v>
      </c>
      <c r="U94" s="3"/>
      <c r="V94" s="7">
        <f t="shared" si="25"/>
        <v>1.2767223797362339E-3</v>
      </c>
      <c r="W94" s="3"/>
      <c r="X94" s="8">
        <f t="shared" si="26"/>
        <v>-6311.13</v>
      </c>
      <c r="Y94" s="3"/>
      <c r="Z94" s="7">
        <f t="shared" si="27"/>
        <v>-0.45899127272727275</v>
      </c>
    </row>
    <row r="95" spans="1:26" s="69" customFormat="1" ht="15" customHeight="1" outlineLevel="1" collapsed="1" x14ac:dyDescent="0.25">
      <c r="A95" s="26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21.5</v>
      </c>
      <c r="E95" s="2"/>
      <c r="F95" s="6">
        <f t="shared" si="20"/>
        <v>1.6908699761176018E-5</v>
      </c>
      <c r="G95" s="2"/>
      <c r="H95" s="2">
        <f>SUM(OSRRefH22_8x_0)</f>
        <v>245</v>
      </c>
      <c r="I95" s="2"/>
      <c r="J95" s="6">
        <f t="shared" si="21"/>
        <v>3.1886551554046404E-4</v>
      </c>
      <c r="K95" s="2"/>
      <c r="L95" s="2">
        <f t="shared" si="22"/>
        <v>-223.5</v>
      </c>
      <c r="M95" s="2"/>
      <c r="N95" s="6">
        <f t="shared" si="23"/>
        <v>-0.91224489795918362</v>
      </c>
      <c r="O95" s="14"/>
      <c r="P95" s="2">
        <f>SUM(OSRRefP22_8x_0)</f>
        <v>4341.38</v>
      </c>
      <c r="Q95" s="2"/>
      <c r="R95" s="6">
        <f t="shared" si="24"/>
        <v>4.3397673294410778E-4</v>
      </c>
      <c r="S95" s="2"/>
      <c r="T95" s="2">
        <f>SUM(OSRRefT22_8x_0)</f>
        <v>2695</v>
      </c>
      <c r="U95" s="2"/>
      <c r="V95" s="6">
        <f t="shared" si="25"/>
        <v>2.502375864283018E-4</v>
      </c>
      <c r="W95" s="2"/>
      <c r="X95" s="2">
        <f t="shared" si="26"/>
        <v>1646.38</v>
      </c>
      <c r="Y95" s="2"/>
      <c r="Z95" s="6">
        <f t="shared" si="27"/>
        <v>0.61090166975881266</v>
      </c>
    </row>
    <row r="96" spans="1:26" s="70" customFormat="1" ht="15" hidden="1" customHeight="1" outlineLevel="2" x14ac:dyDescent="0.25">
      <c r="A96" s="25"/>
      <c r="B96" s="12" t="str">
        <f>CONCATENATE("          ","6277"," - ","EMPLOYEE APPRECIATION")</f>
        <v xml:space="preserve">          6277 - EMPLOYEE APPRECIATION</v>
      </c>
      <c r="C96" s="12"/>
      <c r="D96" s="8">
        <v>21.5</v>
      </c>
      <c r="E96" s="3"/>
      <c r="F96" s="7">
        <f t="shared" si="20"/>
        <v>1.6908699761176018E-5</v>
      </c>
      <c r="G96" s="3"/>
      <c r="H96" s="8">
        <v>245</v>
      </c>
      <c r="I96" s="3"/>
      <c r="J96" s="7">
        <f t="shared" si="21"/>
        <v>3.1886551554046404E-4</v>
      </c>
      <c r="K96" s="3"/>
      <c r="L96" s="8">
        <f t="shared" si="22"/>
        <v>-223.5</v>
      </c>
      <c r="M96" s="3"/>
      <c r="N96" s="7">
        <f t="shared" si="23"/>
        <v>-0.91224489795918362</v>
      </c>
      <c r="O96" s="12"/>
      <c r="P96" s="8">
        <v>4341.38</v>
      </c>
      <c r="Q96" s="3"/>
      <c r="R96" s="7">
        <f t="shared" si="24"/>
        <v>4.3397673294410778E-4</v>
      </c>
      <c r="S96" s="3"/>
      <c r="T96" s="8">
        <v>2695</v>
      </c>
      <c r="U96" s="3"/>
      <c r="V96" s="7">
        <f t="shared" si="25"/>
        <v>2.502375864283018E-4</v>
      </c>
      <c r="W96" s="3"/>
      <c r="X96" s="8">
        <f t="shared" si="26"/>
        <v>1646.38</v>
      </c>
      <c r="Y96" s="3"/>
      <c r="Z96" s="7">
        <f t="shared" si="27"/>
        <v>0.61090166975881266</v>
      </c>
    </row>
    <row r="97" spans="1:26" s="69" customFormat="1" ht="15" customHeight="1" outlineLevel="1" collapsed="1" x14ac:dyDescent="0.25">
      <c r="A97" s="26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1712.05</v>
      </c>
      <c r="E97" s="2"/>
      <c r="F97" s="6">
        <f t="shared" si="20"/>
        <v>1.3464436942382048E-3</v>
      </c>
      <c r="G97" s="2"/>
      <c r="H97" s="2">
        <f>SUM(OSRRefH22_9x_0)</f>
        <v>1700</v>
      </c>
      <c r="I97" s="2"/>
      <c r="J97" s="6">
        <f t="shared" si="21"/>
        <v>2.2125362302807708E-3</v>
      </c>
      <c r="K97" s="2"/>
      <c r="L97" s="2">
        <f t="shared" si="22"/>
        <v>12.049999999999955</v>
      </c>
      <c r="M97" s="2"/>
      <c r="N97" s="6">
        <f t="shared" si="23"/>
        <v>7.08823529411762E-3</v>
      </c>
      <c r="O97" s="14"/>
      <c r="P97" s="2">
        <f>SUM(OSRRefP22_9x_0)</f>
        <v>17510.36</v>
      </c>
      <c r="Q97" s="2"/>
      <c r="R97" s="6">
        <f t="shared" si="24"/>
        <v>1.7503855514779143E-3</v>
      </c>
      <c r="S97" s="2"/>
      <c r="T97" s="2">
        <f>SUM(OSRRefT22_9x_0)</f>
        <v>18500</v>
      </c>
      <c r="U97" s="2"/>
      <c r="V97" s="6">
        <f t="shared" si="25"/>
        <v>1.7177719290996599E-3</v>
      </c>
      <c r="W97" s="2"/>
      <c r="X97" s="2">
        <f t="shared" si="26"/>
        <v>-989.63999999999942</v>
      </c>
      <c r="Y97" s="2"/>
      <c r="Z97" s="6">
        <f t="shared" si="27"/>
        <v>-5.3494054054054024E-2</v>
      </c>
    </row>
    <row r="98" spans="1:26" s="70" customFormat="1" ht="15" hidden="1" customHeight="1" outlineLevel="2" x14ac:dyDescent="0.25">
      <c r="A98" s="25"/>
      <c r="B98" s="12" t="str">
        <f>CONCATENATE("          ","6351"," - ","EQUIPMENT RENTAL")</f>
        <v xml:space="preserve">          6351 - EQUIPMENT RENTAL</v>
      </c>
      <c r="C98" s="12"/>
      <c r="D98" s="8">
        <v>1712.05</v>
      </c>
      <c r="E98" s="3"/>
      <c r="F98" s="7">
        <f t="shared" si="20"/>
        <v>1.3464436942382048E-3</v>
      </c>
      <c r="G98" s="3"/>
      <c r="H98" s="8">
        <v>1700</v>
      </c>
      <c r="I98" s="3"/>
      <c r="J98" s="7">
        <f t="shared" si="21"/>
        <v>2.2125362302807708E-3</v>
      </c>
      <c r="K98" s="3"/>
      <c r="L98" s="8">
        <f t="shared" si="22"/>
        <v>12.049999999999955</v>
      </c>
      <c r="M98" s="3"/>
      <c r="N98" s="7">
        <f t="shared" si="23"/>
        <v>7.08823529411762E-3</v>
      </c>
      <c r="O98" s="12"/>
      <c r="P98" s="8">
        <v>17510.36</v>
      </c>
      <c r="Q98" s="3"/>
      <c r="R98" s="7">
        <f t="shared" si="24"/>
        <v>1.7503855514779143E-3</v>
      </c>
      <c r="S98" s="3"/>
      <c r="T98" s="8">
        <v>18500</v>
      </c>
      <c r="U98" s="3"/>
      <c r="V98" s="7">
        <f t="shared" si="25"/>
        <v>1.7177719290996599E-3</v>
      </c>
      <c r="W98" s="3"/>
      <c r="X98" s="8">
        <f t="shared" si="26"/>
        <v>-989.63999999999942</v>
      </c>
      <c r="Y98" s="3"/>
      <c r="Z98" s="7">
        <f t="shared" si="27"/>
        <v>-5.3494054054054024E-2</v>
      </c>
    </row>
    <row r="99" spans="1:26" s="69" customFormat="1" ht="15" customHeight="1" outlineLevel="1" collapsed="1" x14ac:dyDescent="0.25">
      <c r="A99" s="26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-1240.0600000000004</v>
      </c>
      <c r="E99" s="2"/>
      <c r="F99" s="6">
        <f t="shared" si="20"/>
        <v>-9.7524661515553212E-4</v>
      </c>
      <c r="G99" s="2"/>
      <c r="H99" s="2">
        <f>SUM(OSRRefH22_10x_0)</f>
        <v>-1835</v>
      </c>
      <c r="I99" s="2"/>
      <c r="J99" s="6">
        <f t="shared" si="21"/>
        <v>-2.3882376368030674E-3</v>
      </c>
      <c r="K99" s="2"/>
      <c r="L99" s="2">
        <f t="shared" si="22"/>
        <v>594.9399999999996</v>
      </c>
      <c r="M99" s="2"/>
      <c r="N99" s="6">
        <f t="shared" si="23"/>
        <v>-0.32421798365122595</v>
      </c>
      <c r="O99" s="14"/>
      <c r="P99" s="2">
        <f>SUM(OSRRefP22_10x_0)</f>
        <v>-45096.51999999999</v>
      </c>
      <c r="Q99" s="2"/>
      <c r="R99" s="6">
        <f t="shared" si="24"/>
        <v>-4.5079768222889066E-3</v>
      </c>
      <c r="S99" s="2"/>
      <c r="T99" s="2">
        <f>SUM(OSRRefT22_10x_0)</f>
        <v>-13885</v>
      </c>
      <c r="U99" s="2"/>
      <c r="V99" s="6">
        <f t="shared" si="25"/>
        <v>-1.2892574721918258E-3</v>
      </c>
      <c r="W99" s="2"/>
      <c r="X99" s="2">
        <f t="shared" si="26"/>
        <v>-31211.51999999999</v>
      </c>
      <c r="Y99" s="2"/>
      <c r="Z99" s="6">
        <f t="shared" si="27"/>
        <v>2.2478588404753324</v>
      </c>
    </row>
    <row r="100" spans="1:26" s="70" customFormat="1" ht="15" hidden="1" customHeight="1" outlineLevel="2" x14ac:dyDescent="0.25">
      <c r="A100" s="25"/>
      <c r="B100" s="12" t="str">
        <f>CONCATENATE("          ","6305"," - ","FREIGHT OUT")</f>
        <v xml:space="preserve">          6305 - FREIGHT OUT</v>
      </c>
      <c r="C100" s="12"/>
      <c r="D100" s="8">
        <v>8082.94</v>
      </c>
      <c r="E100" s="3"/>
      <c r="F100" s="7">
        <f t="shared" si="20"/>
        <v>6.356837471981399E-3</v>
      </c>
      <c r="G100" s="3"/>
      <c r="H100" s="8">
        <v>2565</v>
      </c>
      <c r="I100" s="3"/>
      <c r="J100" s="7">
        <f t="shared" si="21"/>
        <v>3.3383267239236337E-3</v>
      </c>
      <c r="K100" s="3"/>
      <c r="L100" s="8">
        <f t="shared" si="22"/>
        <v>5517.94</v>
      </c>
      <c r="M100" s="3"/>
      <c r="N100" s="7">
        <f t="shared" si="23"/>
        <v>2.1512436647173487</v>
      </c>
      <c r="O100" s="12"/>
      <c r="P100" s="8">
        <v>134542.25</v>
      </c>
      <c r="Q100" s="3"/>
      <c r="R100" s="7">
        <f t="shared" si="24"/>
        <v>1.3449227226814835E-2</v>
      </c>
      <c r="S100" s="3"/>
      <c r="T100" s="8">
        <v>155015</v>
      </c>
      <c r="U100" s="3"/>
      <c r="V100" s="7">
        <f t="shared" si="25"/>
        <v>1.4393535977804529E-2</v>
      </c>
      <c r="W100" s="3"/>
      <c r="X100" s="8">
        <f t="shared" si="26"/>
        <v>-20472.75</v>
      </c>
      <c r="Y100" s="3"/>
      <c r="Z100" s="7">
        <f t="shared" si="27"/>
        <v>-0.13206947714737283</v>
      </c>
    </row>
    <row r="101" spans="1:26" s="70" customFormat="1" ht="15" hidden="1" customHeight="1" outlineLevel="2" x14ac:dyDescent="0.25">
      <c r="A101" s="25"/>
      <c r="B101" s="12" t="str">
        <f>CONCATENATE("          ","6307"," - ","POSTAGE")</f>
        <v xml:space="preserve">          6307 - POSTAGE</v>
      </c>
      <c r="C101" s="12"/>
      <c r="D101" s="8">
        <v>-9323</v>
      </c>
      <c r="E101" s="3"/>
      <c r="F101" s="7">
        <f t="shared" si="20"/>
        <v>-7.3320840871369313E-3</v>
      </c>
      <c r="G101" s="3"/>
      <c r="H101" s="8">
        <v>-4400</v>
      </c>
      <c r="I101" s="3"/>
      <c r="J101" s="7">
        <f t="shared" si="21"/>
        <v>-5.7265643607267011E-3</v>
      </c>
      <c r="K101" s="3"/>
      <c r="L101" s="8">
        <f t="shared" si="22"/>
        <v>-4923</v>
      </c>
      <c r="M101" s="3"/>
      <c r="N101" s="7">
        <f t="shared" si="23"/>
        <v>1.1188636363636364</v>
      </c>
      <c r="O101" s="12"/>
      <c r="P101" s="8">
        <v>-179638.77</v>
      </c>
      <c r="Q101" s="3"/>
      <c r="R101" s="7">
        <f t="shared" si="24"/>
        <v>-1.7957204049103739E-2</v>
      </c>
      <c r="S101" s="3"/>
      <c r="T101" s="8">
        <v>-168900</v>
      </c>
      <c r="U101" s="3"/>
      <c r="V101" s="7">
        <f t="shared" si="25"/>
        <v>-1.5682793449996357E-2</v>
      </c>
      <c r="W101" s="3"/>
      <c r="X101" s="8">
        <f t="shared" si="26"/>
        <v>-10738.76999999999</v>
      </c>
      <c r="Y101" s="3"/>
      <c r="Z101" s="7">
        <f t="shared" si="27"/>
        <v>6.3580639431616279E-2</v>
      </c>
    </row>
    <row r="102" spans="1:26" s="69" customFormat="1" ht="15" customHeight="1" outlineLevel="1" collapsed="1" x14ac:dyDescent="0.25">
      <c r="A102" s="26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45.45</v>
      </c>
      <c r="E102" s="2"/>
      <c r="F102" s="6">
        <f t="shared" si="20"/>
        <v>3.5744204843974426E-5</v>
      </c>
      <c r="G102" s="2"/>
      <c r="H102" s="2">
        <f>SUM(OSRRefH22_11x_0)</f>
        <v>980</v>
      </c>
      <c r="I102" s="2"/>
      <c r="J102" s="6">
        <f t="shared" si="21"/>
        <v>1.2754620621618562E-3</v>
      </c>
      <c r="K102" s="2"/>
      <c r="L102" s="2">
        <f t="shared" si="22"/>
        <v>-934.55</v>
      </c>
      <c r="M102" s="2"/>
      <c r="N102" s="6">
        <f t="shared" si="23"/>
        <v>-0.95362244897959181</v>
      </c>
      <c r="O102" s="14"/>
      <c r="P102" s="2">
        <f>SUM(OSRRefP22_11x_0)</f>
        <v>6770.51</v>
      </c>
      <c r="Q102" s="2"/>
      <c r="R102" s="6">
        <f t="shared" si="24"/>
        <v>6.7679949927567078E-4</v>
      </c>
      <c r="S102" s="2"/>
      <c r="T102" s="2">
        <f>SUM(OSRRefT22_11x_0)</f>
        <v>6530</v>
      </c>
      <c r="U102" s="2"/>
      <c r="V102" s="6">
        <f t="shared" si="25"/>
        <v>6.0632706470382599E-4</v>
      </c>
      <c r="W102" s="2"/>
      <c r="X102" s="2">
        <f t="shared" si="26"/>
        <v>240.51000000000022</v>
      </c>
      <c r="Y102" s="2"/>
      <c r="Z102" s="6">
        <f t="shared" si="27"/>
        <v>3.6831546707503861E-2</v>
      </c>
    </row>
    <row r="103" spans="1:26" s="70" customFormat="1" ht="15" hidden="1" customHeight="1" outlineLevel="2" x14ac:dyDescent="0.25">
      <c r="A103" s="25"/>
      <c r="B103" s="12" t="str">
        <f>CONCATENATE("          ","6276"," - ","PROPERTY TAX")</f>
        <v xml:space="preserve">          6276 - PROPERTY TAX</v>
      </c>
      <c r="C103" s="12"/>
      <c r="D103" s="8"/>
      <c r="E103" s="3"/>
      <c r="F103" s="7">
        <f t="shared" si="20"/>
        <v>0</v>
      </c>
      <c r="G103" s="3"/>
      <c r="H103" s="8"/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/>
      <c r="Q103" s="3"/>
      <c r="R103" s="7">
        <f t="shared" si="24"/>
        <v>0</v>
      </c>
      <c r="S103" s="3"/>
      <c r="T103" s="8">
        <v>1250</v>
      </c>
      <c r="U103" s="3"/>
      <c r="V103" s="7">
        <f t="shared" si="25"/>
        <v>1.1606567088511216E-4</v>
      </c>
      <c r="W103" s="3"/>
      <c r="X103" s="8">
        <f t="shared" si="26"/>
        <v>-1250</v>
      </c>
      <c r="Y103" s="3"/>
      <c r="Z103" s="7">
        <f t="shared" si="27"/>
        <v>-1</v>
      </c>
    </row>
    <row r="104" spans="1:26" s="70" customFormat="1" ht="15" hidden="1" customHeight="1" outlineLevel="2" x14ac:dyDescent="0.25">
      <c r="A104" s="25"/>
      <c r="B104" s="12" t="str">
        <f>CONCATENATE("          ","6279"," - ","GENERAL EXPENSE")</f>
        <v xml:space="preserve">          6279 - GENERAL EXPENSE</v>
      </c>
      <c r="C104" s="12"/>
      <c r="D104" s="8">
        <v>45.45</v>
      </c>
      <c r="E104" s="3"/>
      <c r="F104" s="7">
        <f t="shared" si="20"/>
        <v>3.5744204843974426E-5</v>
      </c>
      <c r="G104" s="3"/>
      <c r="H104" s="8">
        <v>980</v>
      </c>
      <c r="I104" s="3"/>
      <c r="J104" s="7">
        <f t="shared" si="21"/>
        <v>1.2754620621618562E-3</v>
      </c>
      <c r="K104" s="3"/>
      <c r="L104" s="8">
        <f t="shared" si="22"/>
        <v>-934.55</v>
      </c>
      <c r="M104" s="3"/>
      <c r="N104" s="7">
        <f t="shared" si="23"/>
        <v>-0.95362244897959181</v>
      </c>
      <c r="O104" s="12"/>
      <c r="P104" s="8">
        <v>6770.51</v>
      </c>
      <c r="Q104" s="3"/>
      <c r="R104" s="7">
        <f t="shared" si="24"/>
        <v>6.7679949927567078E-4</v>
      </c>
      <c r="S104" s="3"/>
      <c r="T104" s="8">
        <v>5280</v>
      </c>
      <c r="U104" s="3"/>
      <c r="V104" s="7">
        <f t="shared" si="25"/>
        <v>4.9026139381871383E-4</v>
      </c>
      <c r="W104" s="3"/>
      <c r="X104" s="8">
        <f t="shared" si="26"/>
        <v>1490.5100000000002</v>
      </c>
      <c r="Y104" s="3"/>
      <c r="Z104" s="7">
        <f t="shared" si="27"/>
        <v>0.28229356060606065</v>
      </c>
    </row>
    <row r="105" spans="1:26" s="69" customFormat="1" ht="15" customHeight="1" outlineLevel="1" collapsed="1" x14ac:dyDescent="0.25">
      <c r="A105" s="26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5494.57</v>
      </c>
      <c r="E105" s="2"/>
      <c r="F105" s="6">
        <f t="shared" si="20"/>
        <v>4.3212109045006938E-3</v>
      </c>
      <c r="G105" s="2"/>
      <c r="H105" s="2">
        <f>SUM(OSRRefH22_12x_0)</f>
        <v>5375</v>
      </c>
      <c r="I105" s="2"/>
      <c r="J105" s="6">
        <f t="shared" si="21"/>
        <v>6.9955189633877316E-3</v>
      </c>
      <c r="K105" s="2"/>
      <c r="L105" s="2">
        <f t="shared" si="22"/>
        <v>119.56999999999971</v>
      </c>
      <c r="M105" s="2"/>
      <c r="N105" s="6">
        <f t="shared" si="23"/>
        <v>2.2245581395348782E-2</v>
      </c>
      <c r="O105" s="14"/>
      <c r="P105" s="2">
        <f>SUM(OSRRefP22_12x_0)</f>
        <v>60440.27</v>
      </c>
      <c r="Q105" s="2"/>
      <c r="R105" s="6">
        <f t="shared" si="24"/>
        <v>6.0417818557370623E-3</v>
      </c>
      <c r="S105" s="2"/>
      <c r="T105" s="2">
        <f>SUM(OSRRefT22_12x_0)</f>
        <v>59125</v>
      </c>
      <c r="U105" s="2"/>
      <c r="V105" s="6">
        <f t="shared" si="25"/>
        <v>5.4899062328658058E-3</v>
      </c>
      <c r="W105" s="2"/>
      <c r="X105" s="2">
        <f t="shared" si="26"/>
        <v>1315.2699999999968</v>
      </c>
      <c r="Y105" s="2"/>
      <c r="Z105" s="6">
        <f t="shared" si="27"/>
        <v>2.2245581395348782E-2</v>
      </c>
    </row>
    <row r="106" spans="1:26" s="70" customFormat="1" ht="15" hidden="1" customHeight="1" outlineLevel="2" x14ac:dyDescent="0.25">
      <c r="A106" s="25"/>
      <c r="B106" s="12" t="str">
        <f>CONCATENATE("          ","6314"," - ","LIABILITY INSURANCE")</f>
        <v xml:space="preserve">          6314 - LIABILITY INSURANCE</v>
      </c>
      <c r="C106" s="12"/>
      <c r="D106" s="8">
        <v>5494.57</v>
      </c>
      <c r="E106" s="3"/>
      <c r="F106" s="7">
        <f t="shared" si="20"/>
        <v>4.3212109045006938E-3</v>
      </c>
      <c r="G106" s="3"/>
      <c r="H106" s="8">
        <v>5375</v>
      </c>
      <c r="I106" s="3"/>
      <c r="J106" s="7">
        <f t="shared" si="21"/>
        <v>6.9955189633877316E-3</v>
      </c>
      <c r="K106" s="3"/>
      <c r="L106" s="8">
        <f t="shared" si="22"/>
        <v>119.56999999999971</v>
      </c>
      <c r="M106" s="3"/>
      <c r="N106" s="7">
        <f t="shared" si="23"/>
        <v>2.2245581395348782E-2</v>
      </c>
      <c r="O106" s="12"/>
      <c r="P106" s="8">
        <v>60440.27</v>
      </c>
      <c r="Q106" s="3"/>
      <c r="R106" s="7">
        <f t="shared" si="24"/>
        <v>6.0417818557370623E-3</v>
      </c>
      <c r="S106" s="3"/>
      <c r="T106" s="8">
        <v>59125</v>
      </c>
      <c r="U106" s="3"/>
      <c r="V106" s="7">
        <f t="shared" si="25"/>
        <v>5.4899062328658058E-3</v>
      </c>
      <c r="W106" s="3"/>
      <c r="X106" s="8">
        <f t="shared" si="26"/>
        <v>1315.2699999999968</v>
      </c>
      <c r="Y106" s="3"/>
      <c r="Z106" s="7">
        <f t="shared" si="27"/>
        <v>2.2245581395348782E-2</v>
      </c>
    </row>
    <row r="107" spans="1:26" s="69" customFormat="1" ht="15" customHeight="1" outlineLevel="1" collapsed="1" x14ac:dyDescent="0.25">
      <c r="A107" s="26"/>
      <c r="B107" s="14" t="str">
        <f>CONCATENATE("     ","Inventory Adjustment                              ")</f>
        <v xml:space="preserve">     Inventory Adjustment                              </v>
      </c>
      <c r="C107" s="14"/>
      <c r="D107" s="2">
        <f>SUM(OSRRefD22_13x_0)</f>
        <v>7200</v>
      </c>
      <c r="E107" s="2"/>
      <c r="F107" s="6">
        <f t="shared" si="20"/>
        <v>5.6624482921147599E-3</v>
      </c>
      <c r="G107" s="2"/>
      <c r="H107" s="2">
        <f>SUM(OSRRefH22_13x_0)</f>
        <v>7200</v>
      </c>
      <c r="I107" s="2"/>
      <c r="J107" s="6">
        <f t="shared" si="21"/>
        <v>9.3707416811891469E-3</v>
      </c>
      <c r="K107" s="2"/>
      <c r="L107" s="2">
        <f t="shared" si="22"/>
        <v>0</v>
      </c>
      <c r="M107" s="2"/>
      <c r="N107" s="6">
        <f t="shared" si="23"/>
        <v>0</v>
      </c>
      <c r="O107" s="14"/>
      <c r="P107" s="2">
        <f>SUM(OSRRefP22_13x_0)</f>
        <v>70840</v>
      </c>
      <c r="Q107" s="2"/>
      <c r="R107" s="6">
        <f t="shared" si="24"/>
        <v>7.0813685422056113E-3</v>
      </c>
      <c r="S107" s="2"/>
      <c r="T107" s="2">
        <f>SUM(OSRRefT22_13x_0)</f>
        <v>71550</v>
      </c>
      <c r="U107" s="2"/>
      <c r="V107" s="6">
        <f t="shared" si="25"/>
        <v>6.6435990014638204E-3</v>
      </c>
      <c r="W107" s="2"/>
      <c r="X107" s="2">
        <f t="shared" si="26"/>
        <v>-710</v>
      </c>
      <c r="Y107" s="2"/>
      <c r="Z107" s="6">
        <f t="shared" si="27"/>
        <v>-9.9231306778476587E-3</v>
      </c>
    </row>
    <row r="108" spans="1:26" s="70" customFormat="1" ht="15" hidden="1" customHeight="1" outlineLevel="2" x14ac:dyDescent="0.25">
      <c r="A108" s="25"/>
      <c r="B108" s="12" t="str">
        <f>CONCATENATE("          ","6408"," - ","INVENTORY ADJUSTMENT")</f>
        <v xml:space="preserve">          6408 - INVENTORY ADJUSTMENT</v>
      </c>
      <c r="C108" s="12"/>
      <c r="D108" s="8">
        <v>7200</v>
      </c>
      <c r="E108" s="3"/>
      <c r="F108" s="7">
        <f t="shared" si="20"/>
        <v>5.6624482921147599E-3</v>
      </c>
      <c r="G108" s="3"/>
      <c r="H108" s="8">
        <v>7200</v>
      </c>
      <c r="I108" s="3"/>
      <c r="J108" s="7">
        <f t="shared" si="21"/>
        <v>9.3707416811891469E-3</v>
      </c>
      <c r="K108" s="3"/>
      <c r="L108" s="8">
        <f t="shared" si="22"/>
        <v>0</v>
      </c>
      <c r="M108" s="3"/>
      <c r="N108" s="7">
        <f t="shared" si="23"/>
        <v>0</v>
      </c>
      <c r="O108" s="12"/>
      <c r="P108" s="8">
        <v>70840</v>
      </c>
      <c r="Q108" s="3"/>
      <c r="R108" s="7">
        <f t="shared" si="24"/>
        <v>7.0813685422056113E-3</v>
      </c>
      <c r="S108" s="3"/>
      <c r="T108" s="8">
        <v>71550</v>
      </c>
      <c r="U108" s="3"/>
      <c r="V108" s="7">
        <f t="shared" si="25"/>
        <v>6.6435990014638204E-3</v>
      </c>
      <c r="W108" s="3"/>
      <c r="X108" s="8">
        <f t="shared" si="26"/>
        <v>-710</v>
      </c>
      <c r="Y108" s="3"/>
      <c r="Z108" s="7">
        <f t="shared" si="27"/>
        <v>-9.9231306778476587E-3</v>
      </c>
    </row>
    <row r="109" spans="1:26" s="69" customFormat="1" ht="15" customHeight="1" outlineLevel="1" collapsed="1" x14ac:dyDescent="0.25">
      <c r="A109" s="26"/>
      <c r="B109" s="14" t="str">
        <f>CONCATENATE("     ","Professional Services                             ")</f>
        <v xml:space="preserve">     Professional Services                             </v>
      </c>
      <c r="C109" s="14"/>
      <c r="D109" s="2">
        <f>SUM(OSRRefD22_14x_0)</f>
        <v>0</v>
      </c>
      <c r="E109" s="2"/>
      <c r="F109" s="6">
        <f t="shared" si="20"/>
        <v>0</v>
      </c>
      <c r="G109" s="2"/>
      <c r="H109" s="2">
        <f>SUM(OSRRefH22_14x_0)</f>
        <v>0</v>
      </c>
      <c r="I109" s="2"/>
      <c r="J109" s="6">
        <f t="shared" si="21"/>
        <v>0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SUM(OSRRefP22_14x_0)</f>
        <v>9626.5300000000007</v>
      </c>
      <c r="Q109" s="2"/>
      <c r="R109" s="6">
        <f t="shared" si="24"/>
        <v>9.6229540813944927E-4</v>
      </c>
      <c r="S109" s="2"/>
      <c r="T109" s="2">
        <f>SUM(OSRRefT22_14x_0)</f>
        <v>1750</v>
      </c>
      <c r="U109" s="2"/>
      <c r="V109" s="6">
        <f t="shared" si="25"/>
        <v>1.6249193923915703E-4</v>
      </c>
      <c r="W109" s="2"/>
      <c r="X109" s="2">
        <f t="shared" si="26"/>
        <v>7876.5300000000007</v>
      </c>
      <c r="Y109" s="2"/>
      <c r="Z109" s="6">
        <f t="shared" si="27"/>
        <v>4.5008742857142865</v>
      </c>
    </row>
    <row r="110" spans="1:26" s="70" customFormat="1" ht="15" hidden="1" customHeight="1" outlineLevel="2" x14ac:dyDescent="0.25">
      <c r="A110" s="25"/>
      <c r="B110" s="12" t="str">
        <f>CONCATENATE("          ","6336"," - ","PROFESSIONAL SERVICES")</f>
        <v xml:space="preserve">          6336 - PROFESSIONAL SERVICES</v>
      </c>
      <c r="C110" s="12"/>
      <c r="D110" s="8"/>
      <c r="E110" s="3"/>
      <c r="F110" s="7">
        <f t="shared" si="20"/>
        <v>0</v>
      </c>
      <c r="G110" s="3"/>
      <c r="H110" s="8">
        <v>0</v>
      </c>
      <c r="I110" s="3"/>
      <c r="J110" s="7">
        <f t="shared" si="21"/>
        <v>0</v>
      </c>
      <c r="K110" s="3"/>
      <c r="L110" s="8">
        <f t="shared" si="22"/>
        <v>0</v>
      </c>
      <c r="M110" s="3"/>
      <c r="N110" s="7">
        <f t="shared" si="23"/>
        <v>0</v>
      </c>
      <c r="O110" s="12"/>
      <c r="P110" s="8">
        <v>9626.5300000000007</v>
      </c>
      <c r="Q110" s="3"/>
      <c r="R110" s="7">
        <f t="shared" si="24"/>
        <v>9.6229540813944927E-4</v>
      </c>
      <c r="S110" s="3"/>
      <c r="T110" s="8">
        <v>1750</v>
      </c>
      <c r="U110" s="3"/>
      <c r="V110" s="7">
        <f t="shared" si="25"/>
        <v>1.6249193923915703E-4</v>
      </c>
      <c r="W110" s="3"/>
      <c r="X110" s="8">
        <f t="shared" si="26"/>
        <v>7876.5300000000007</v>
      </c>
      <c r="Y110" s="3"/>
      <c r="Z110" s="7">
        <f t="shared" si="27"/>
        <v>4.5008742857142865</v>
      </c>
    </row>
    <row r="111" spans="1:26" s="69" customFormat="1" ht="15" customHeight="1" outlineLevel="1" collapsed="1" x14ac:dyDescent="0.25">
      <c r="A111" s="26"/>
      <c r="B111" s="14" t="str">
        <f>CONCATENATE("     ","Rent                                              ")</f>
        <v xml:space="preserve">     Rent                                              </v>
      </c>
      <c r="C111" s="14"/>
      <c r="D111" s="2">
        <f>SUM(OSRRefD22_15x_0)</f>
        <v>6100</v>
      </c>
      <c r="E111" s="2"/>
      <c r="F111" s="6">
        <f t="shared" si="20"/>
        <v>4.7973520252638938E-3</v>
      </c>
      <c r="G111" s="2"/>
      <c r="H111" s="2">
        <f>SUM(OSRRefH22_15x_0)</f>
        <v>6100</v>
      </c>
      <c r="I111" s="2"/>
      <c r="J111" s="6">
        <f t="shared" si="21"/>
        <v>7.9391005910074714E-3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SUM(OSRRefP22_15x_0)</f>
        <v>67100</v>
      </c>
      <c r="Q111" s="2"/>
      <c r="R111" s="6">
        <f t="shared" si="24"/>
        <v>6.7075074701015884E-3</v>
      </c>
      <c r="S111" s="2"/>
      <c r="T111" s="2">
        <f>SUM(OSRRefT22_15x_0)</f>
        <v>67100</v>
      </c>
      <c r="U111" s="2"/>
      <c r="V111" s="6">
        <f t="shared" si="25"/>
        <v>6.2304052131128213E-3</v>
      </c>
      <c r="W111" s="2"/>
      <c r="X111" s="2">
        <f t="shared" si="26"/>
        <v>0</v>
      </c>
      <c r="Y111" s="2"/>
      <c r="Z111" s="6">
        <f t="shared" si="27"/>
        <v>0</v>
      </c>
    </row>
    <row r="112" spans="1:26" s="70" customFormat="1" ht="15" hidden="1" customHeight="1" outlineLevel="2" x14ac:dyDescent="0.25">
      <c r="A112" s="25"/>
      <c r="B112" s="12" t="str">
        <f>CONCATENATE("          ","6273"," - ","RENT")</f>
        <v xml:space="preserve">          6273 - RENT</v>
      </c>
      <c r="C112" s="12"/>
      <c r="D112" s="8">
        <v>6100</v>
      </c>
      <c r="E112" s="3"/>
      <c r="F112" s="7">
        <f t="shared" si="20"/>
        <v>4.7973520252638938E-3</v>
      </c>
      <c r="G112" s="3"/>
      <c r="H112" s="8">
        <v>6100</v>
      </c>
      <c r="I112" s="3"/>
      <c r="J112" s="7">
        <f t="shared" si="21"/>
        <v>7.9391005910074714E-3</v>
      </c>
      <c r="K112" s="3"/>
      <c r="L112" s="8">
        <f t="shared" si="22"/>
        <v>0</v>
      </c>
      <c r="M112" s="3"/>
      <c r="N112" s="7">
        <f t="shared" si="23"/>
        <v>0</v>
      </c>
      <c r="O112" s="12"/>
      <c r="P112" s="8">
        <v>67100</v>
      </c>
      <c r="Q112" s="3"/>
      <c r="R112" s="7">
        <f t="shared" si="24"/>
        <v>6.7075074701015884E-3</v>
      </c>
      <c r="S112" s="3"/>
      <c r="T112" s="8">
        <v>67100</v>
      </c>
      <c r="U112" s="3"/>
      <c r="V112" s="7">
        <f t="shared" si="25"/>
        <v>6.2304052131128213E-3</v>
      </c>
      <c r="W112" s="3"/>
      <c r="X112" s="8">
        <f t="shared" si="26"/>
        <v>0</v>
      </c>
      <c r="Y112" s="3"/>
      <c r="Z112" s="7">
        <f t="shared" si="27"/>
        <v>0</v>
      </c>
    </row>
    <row r="113" spans="1:26" s="69" customFormat="1" ht="15" customHeight="1" outlineLevel="1" collapsed="1" x14ac:dyDescent="0.25">
      <c r="A113" s="26"/>
      <c r="B113" s="14" t="str">
        <f>CONCATENATE("     ","Repair and Maintenance                            ")</f>
        <v xml:space="preserve">     Repair and Maintenance                            </v>
      </c>
      <c r="C113" s="14"/>
      <c r="D113" s="2">
        <f>SUM(OSRRefD22_16x_0)</f>
        <v>5559.93</v>
      </c>
      <c r="E113" s="2"/>
      <c r="F113" s="6">
        <f t="shared" si="20"/>
        <v>4.3726133517746693E-3</v>
      </c>
      <c r="G113" s="2"/>
      <c r="H113" s="2">
        <f>SUM(OSRRefH22_16x_0)</f>
        <v>10645</v>
      </c>
      <c r="I113" s="2"/>
      <c r="J113" s="6">
        <f t="shared" si="21"/>
        <v>1.3854381277258122E-2</v>
      </c>
      <c r="K113" s="2"/>
      <c r="L113" s="2">
        <f t="shared" si="22"/>
        <v>-5085.07</v>
      </c>
      <c r="M113" s="2"/>
      <c r="N113" s="6">
        <f t="shared" si="23"/>
        <v>-0.4776956317519962</v>
      </c>
      <c r="O113" s="14"/>
      <c r="P113" s="2">
        <f>SUM(OSRRefP22_16x_0)</f>
        <v>144120.39000000001</v>
      </c>
      <c r="Q113" s="2"/>
      <c r="R113" s="6">
        <f t="shared" si="24"/>
        <v>1.4406685432473238E-2</v>
      </c>
      <c r="S113" s="2"/>
      <c r="T113" s="2">
        <f>SUM(OSRRefT22_16x_0)</f>
        <v>168915</v>
      </c>
      <c r="U113" s="2"/>
      <c r="V113" s="6">
        <f t="shared" si="25"/>
        <v>1.5684186238046977E-2</v>
      </c>
      <c r="W113" s="2"/>
      <c r="X113" s="2">
        <f t="shared" si="26"/>
        <v>-24794.609999999986</v>
      </c>
      <c r="Y113" s="2"/>
      <c r="Z113" s="6">
        <f t="shared" si="27"/>
        <v>-0.14678749666992266</v>
      </c>
    </row>
    <row r="114" spans="1:26" s="70" customFormat="1" ht="15" hidden="1" customHeight="1" outlineLevel="2" x14ac:dyDescent="0.25">
      <c r="A114" s="25"/>
      <c r="B114" s="12" t="str">
        <f>CONCATENATE("          ","6371"," - ","COMPUTER SOFTWARE MAINTENANCE")</f>
        <v xml:space="preserve">          6371 - COMPUTER SOFTWARE MAINTENANCE</v>
      </c>
      <c r="C114" s="12"/>
      <c r="D114" s="8"/>
      <c r="E114" s="3"/>
      <c r="F114" s="7">
        <f t="shared" si="20"/>
        <v>0</v>
      </c>
      <c r="G114" s="3"/>
      <c r="H114" s="8">
        <v>1000</v>
      </c>
      <c r="I114" s="3"/>
      <c r="J114" s="7">
        <f t="shared" si="21"/>
        <v>1.3014919001651593E-3</v>
      </c>
      <c r="K114" s="3"/>
      <c r="L114" s="8">
        <f t="shared" si="22"/>
        <v>-1000</v>
      </c>
      <c r="M114" s="3"/>
      <c r="N114" s="7">
        <f t="shared" si="23"/>
        <v>-1</v>
      </c>
      <c r="O114" s="12"/>
      <c r="P114" s="8">
        <v>64061</v>
      </c>
      <c r="Q114" s="3"/>
      <c r="R114" s="7">
        <f t="shared" si="24"/>
        <v>6.4037203583036939E-3</v>
      </c>
      <c r="S114" s="3"/>
      <c r="T114" s="8">
        <v>50100</v>
      </c>
      <c r="U114" s="3"/>
      <c r="V114" s="7">
        <f t="shared" si="25"/>
        <v>4.6519120890752951E-3</v>
      </c>
      <c r="W114" s="3"/>
      <c r="X114" s="8">
        <f t="shared" si="26"/>
        <v>13961</v>
      </c>
      <c r="Y114" s="3"/>
      <c r="Z114" s="7">
        <f t="shared" si="27"/>
        <v>0.27866267465069861</v>
      </c>
    </row>
    <row r="115" spans="1:26" s="70" customFormat="1" ht="15" hidden="1" customHeight="1" outlineLevel="2" x14ac:dyDescent="0.25">
      <c r="A115" s="25"/>
      <c r="B115" s="12" t="str">
        <f>CONCATENATE("          ","6372"," - ","COMPUTER HARDWARE MAINTENANCE")</f>
        <v xml:space="preserve">          6372 - COMPUTER HARDWARE MAINTENANCE</v>
      </c>
      <c r="C115" s="12"/>
      <c r="D115" s="8"/>
      <c r="E115" s="3"/>
      <c r="F115" s="7">
        <f t="shared" si="20"/>
        <v>0</v>
      </c>
      <c r="G115" s="3"/>
      <c r="H115" s="8">
        <v>3750</v>
      </c>
      <c r="I115" s="3"/>
      <c r="J115" s="7">
        <f t="shared" si="21"/>
        <v>4.8805946256193474E-3</v>
      </c>
      <c r="K115" s="3"/>
      <c r="L115" s="8">
        <f t="shared" si="22"/>
        <v>-3750</v>
      </c>
      <c r="M115" s="3"/>
      <c r="N115" s="7">
        <f t="shared" si="23"/>
        <v>-1</v>
      </c>
      <c r="O115" s="12"/>
      <c r="P115" s="8"/>
      <c r="Q115" s="3"/>
      <c r="R115" s="7">
        <f t="shared" si="24"/>
        <v>0</v>
      </c>
      <c r="S115" s="3"/>
      <c r="T115" s="8">
        <v>37870</v>
      </c>
      <c r="U115" s="3"/>
      <c r="V115" s="7">
        <f t="shared" si="25"/>
        <v>3.516325565135358E-3</v>
      </c>
      <c r="W115" s="3"/>
      <c r="X115" s="8">
        <f t="shared" si="26"/>
        <v>-37870</v>
      </c>
      <c r="Y115" s="3"/>
      <c r="Z115" s="7">
        <f t="shared" si="27"/>
        <v>-1</v>
      </c>
    </row>
    <row r="116" spans="1:26" s="70" customFormat="1" ht="15" hidden="1" customHeight="1" outlineLevel="2" x14ac:dyDescent="0.25">
      <c r="A116" s="25"/>
      <c r="B116" s="12" t="str">
        <f>CONCATENATE("          ","6373"," - ","MAINTENANCE CONTRACTS")</f>
        <v xml:space="preserve">          6373 - MAINTENANCE CONTRACTS</v>
      </c>
      <c r="C116" s="12"/>
      <c r="D116" s="8">
        <v>1648.79</v>
      </c>
      <c r="E116" s="3"/>
      <c r="F116" s="7">
        <f t="shared" si="20"/>
        <v>1.2966927943827632E-3</v>
      </c>
      <c r="G116" s="3"/>
      <c r="H116" s="8">
        <v>5855</v>
      </c>
      <c r="I116" s="3"/>
      <c r="J116" s="7">
        <f t="shared" si="21"/>
        <v>7.620235075467008E-3</v>
      </c>
      <c r="K116" s="3"/>
      <c r="L116" s="8">
        <f t="shared" si="22"/>
        <v>-4206.21</v>
      </c>
      <c r="M116" s="3"/>
      <c r="N116" s="7">
        <f t="shared" si="23"/>
        <v>-0.71839624252775403</v>
      </c>
      <c r="O116" s="12"/>
      <c r="P116" s="8">
        <v>24020.49</v>
      </c>
      <c r="Q116" s="3"/>
      <c r="R116" s="7">
        <f t="shared" si="24"/>
        <v>2.401156722958279E-3</v>
      </c>
      <c r="S116" s="3"/>
      <c r="T116" s="8">
        <v>80005</v>
      </c>
      <c r="U116" s="3"/>
      <c r="V116" s="7">
        <f t="shared" si="25"/>
        <v>7.4286671993307185E-3</v>
      </c>
      <c r="W116" s="3"/>
      <c r="X116" s="8">
        <f t="shared" si="26"/>
        <v>-55984.509999999995</v>
      </c>
      <c r="Y116" s="3"/>
      <c r="Z116" s="7">
        <f t="shared" si="27"/>
        <v>-0.69976263983501019</v>
      </c>
    </row>
    <row r="117" spans="1:26" s="70" customFormat="1" ht="15" hidden="1" customHeight="1" outlineLevel="2" x14ac:dyDescent="0.25">
      <c r="A117" s="25"/>
      <c r="B117" s="12" t="str">
        <f>CONCATENATE("          ","6375"," - ","OUTSIDE REPAIRS &amp; MAINTENANCE")</f>
        <v xml:space="preserve">          6375 - OUTSIDE REPAIRS &amp; MAINTENANCE</v>
      </c>
      <c r="C117" s="12"/>
      <c r="D117" s="8">
        <v>3911.14</v>
      </c>
      <c r="E117" s="3"/>
      <c r="F117" s="7">
        <f t="shared" si="20"/>
        <v>3.0759205573919059E-3</v>
      </c>
      <c r="G117" s="3"/>
      <c r="H117" s="8">
        <v>40</v>
      </c>
      <c r="I117" s="3"/>
      <c r="J117" s="7">
        <f t="shared" si="21"/>
        <v>5.2059676006606376E-5</v>
      </c>
      <c r="K117" s="3"/>
      <c r="L117" s="8">
        <f t="shared" si="22"/>
        <v>3871.14</v>
      </c>
      <c r="M117" s="3"/>
      <c r="N117" s="7">
        <f t="shared" si="23"/>
        <v>96.778499999999994</v>
      </c>
      <c r="O117" s="12"/>
      <c r="P117" s="8">
        <v>56038.9</v>
      </c>
      <c r="Q117" s="3"/>
      <c r="R117" s="7">
        <f t="shared" si="24"/>
        <v>5.6018083512112656E-3</v>
      </c>
      <c r="S117" s="3"/>
      <c r="T117" s="8">
        <v>940</v>
      </c>
      <c r="U117" s="3"/>
      <c r="V117" s="7">
        <f t="shared" si="25"/>
        <v>8.7281384505604351E-5</v>
      </c>
      <c r="W117" s="3"/>
      <c r="X117" s="8">
        <f t="shared" si="26"/>
        <v>55098.9</v>
      </c>
      <c r="Y117" s="3"/>
      <c r="Z117" s="7">
        <f t="shared" si="27"/>
        <v>58.615851063829787</v>
      </c>
    </row>
    <row r="118" spans="1:26" s="69" customFormat="1" ht="15" customHeight="1" outlineLevel="1" collapsed="1" x14ac:dyDescent="0.25">
      <c r="A118" s="26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2">
        <f>SUM(OSRRefD22_17x_0)</f>
        <v>3844.9400000000005</v>
      </c>
      <c r="E118" s="2"/>
      <c r="F118" s="6">
        <f t="shared" si="20"/>
        <v>3.0238574911505178E-3</v>
      </c>
      <c r="G118" s="2"/>
      <c r="H118" s="2">
        <f>SUM(OSRRefH22_17x_0)</f>
        <v>9656</v>
      </c>
      <c r="I118" s="2"/>
      <c r="J118" s="6">
        <f t="shared" si="21"/>
        <v>1.2567205787994778E-2</v>
      </c>
      <c r="K118" s="2"/>
      <c r="L118" s="2">
        <f t="shared" si="22"/>
        <v>-5811.0599999999995</v>
      </c>
      <c r="M118" s="2"/>
      <c r="N118" s="6">
        <f t="shared" si="23"/>
        <v>-0.60180820215410102</v>
      </c>
      <c r="O118" s="14"/>
      <c r="P118" s="2">
        <f>SUM(OSRRefP22_17x_0)</f>
        <v>85467.47</v>
      </c>
      <c r="Q118" s="2"/>
      <c r="R118" s="6">
        <f t="shared" si="24"/>
        <v>8.543572182946102E-3</v>
      </c>
      <c r="S118" s="2"/>
      <c r="T118" s="2">
        <f>SUM(OSRRefT22_17x_0)</f>
        <v>99188</v>
      </c>
      <c r="U118" s="2"/>
      <c r="V118" s="6">
        <f t="shared" si="25"/>
        <v>9.2098574110020034E-3</v>
      </c>
      <c r="W118" s="2"/>
      <c r="X118" s="2">
        <f t="shared" si="26"/>
        <v>-13720.529999999999</v>
      </c>
      <c r="Y118" s="2"/>
      <c r="Z118" s="6">
        <f t="shared" si="27"/>
        <v>-0.13832852764447312</v>
      </c>
    </row>
    <row r="119" spans="1:26" s="70" customFormat="1" ht="15" hidden="1" customHeight="1" outlineLevel="2" x14ac:dyDescent="0.25">
      <c r="A119" s="25"/>
      <c r="B119" s="12" t="str">
        <f>CONCATENATE("          ","6252"," - ","ROYALTY DUE CSTV")</f>
        <v xml:space="preserve">          6252 - ROYALTY DUE CSTV</v>
      </c>
      <c r="C119" s="12"/>
      <c r="D119" s="8"/>
      <c r="E119" s="3"/>
      <c r="F119" s="7">
        <f t="shared" si="20"/>
        <v>0</v>
      </c>
      <c r="G119" s="3"/>
      <c r="H119" s="8">
        <v>2156</v>
      </c>
      <c r="I119" s="3"/>
      <c r="J119" s="7">
        <f t="shared" si="21"/>
        <v>2.8060165367560833E-3</v>
      </c>
      <c r="K119" s="3"/>
      <c r="L119" s="8">
        <f t="shared" si="22"/>
        <v>-2156</v>
      </c>
      <c r="M119" s="3"/>
      <c r="N119" s="7">
        <f t="shared" si="23"/>
        <v>-1</v>
      </c>
      <c r="O119" s="12"/>
      <c r="P119" s="8"/>
      <c r="Q119" s="3"/>
      <c r="R119" s="7">
        <f t="shared" si="24"/>
        <v>0</v>
      </c>
      <c r="S119" s="3"/>
      <c r="T119" s="8">
        <v>15686</v>
      </c>
      <c r="U119" s="3"/>
      <c r="V119" s="7">
        <f t="shared" si="25"/>
        <v>1.4564848908030954E-3</v>
      </c>
      <c r="W119" s="3"/>
      <c r="X119" s="8">
        <f t="shared" si="26"/>
        <v>-15686</v>
      </c>
      <c r="Y119" s="3"/>
      <c r="Z119" s="7">
        <f t="shared" si="27"/>
        <v>-1</v>
      </c>
    </row>
    <row r="120" spans="1:26" s="70" customFormat="1" ht="15" hidden="1" customHeight="1" outlineLevel="2" x14ac:dyDescent="0.25">
      <c r="A120" s="25"/>
      <c r="B120" s="12" t="str">
        <f>CONCATENATE("          ","6253"," - ","ROYALTY DUE ATHLETICS-LRG")</f>
        <v xml:space="preserve">          6253 - ROYALTY DUE ATHLETICS-LRG</v>
      </c>
      <c r="C120" s="12"/>
      <c r="D120" s="8">
        <v>-3708.97</v>
      </c>
      <c r="E120" s="3"/>
      <c r="F120" s="7">
        <f t="shared" si="20"/>
        <v>-2.9169237280562334E-3</v>
      </c>
      <c r="G120" s="3"/>
      <c r="H120" s="8">
        <v>0</v>
      </c>
      <c r="I120" s="3"/>
      <c r="J120" s="7">
        <f t="shared" si="21"/>
        <v>0</v>
      </c>
      <c r="K120" s="3"/>
      <c r="L120" s="8">
        <f t="shared" si="22"/>
        <v>-3708.97</v>
      </c>
      <c r="M120" s="3"/>
      <c r="N120" s="7">
        <f t="shared" si="23"/>
        <v>0</v>
      </c>
      <c r="O120" s="12"/>
      <c r="P120" s="8">
        <v>51456.52</v>
      </c>
      <c r="Q120" s="3"/>
      <c r="R120" s="7">
        <f t="shared" si="24"/>
        <v>5.1437405705727531E-3</v>
      </c>
      <c r="S120" s="3"/>
      <c r="T120" s="8">
        <v>38502</v>
      </c>
      <c r="U120" s="3"/>
      <c r="V120" s="7">
        <f t="shared" si="25"/>
        <v>3.575008368334871E-3</v>
      </c>
      <c r="W120" s="3"/>
      <c r="X120" s="8">
        <f t="shared" si="26"/>
        <v>12954.519999999997</v>
      </c>
      <c r="Y120" s="3"/>
      <c r="Z120" s="7">
        <f t="shared" si="27"/>
        <v>0.33646356033452801</v>
      </c>
    </row>
    <row r="121" spans="1:26" s="70" customFormat="1" ht="15" hidden="1" customHeight="1" outlineLevel="2" x14ac:dyDescent="0.25">
      <c r="A121" s="25"/>
      <c r="B121" s="12" t="str">
        <f>CONCATENATE("          ","6254"," - ","ROYALTY &amp; COMMISSIONS")</f>
        <v xml:space="preserve">          6254 - ROYALTY &amp; COMMISSIONS</v>
      </c>
      <c r="C121" s="12"/>
      <c r="D121" s="8">
        <v>6293.1</v>
      </c>
      <c r="E121" s="3"/>
      <c r="F121" s="7">
        <f t="shared" si="20"/>
        <v>4.9492157426538055E-3</v>
      </c>
      <c r="G121" s="3"/>
      <c r="H121" s="8">
        <v>1000</v>
      </c>
      <c r="I121" s="3"/>
      <c r="J121" s="7">
        <f t="shared" si="21"/>
        <v>1.3014919001651593E-3</v>
      </c>
      <c r="K121" s="3"/>
      <c r="L121" s="8">
        <f t="shared" si="22"/>
        <v>5293.1</v>
      </c>
      <c r="M121" s="3"/>
      <c r="N121" s="7">
        <f t="shared" si="23"/>
        <v>5.2931000000000008</v>
      </c>
      <c r="O121" s="12"/>
      <c r="P121" s="8">
        <v>20699.490000000002</v>
      </c>
      <c r="Q121" s="3"/>
      <c r="R121" s="7">
        <f t="shared" si="24"/>
        <v>2.069180086472327E-3</v>
      </c>
      <c r="S121" s="3"/>
      <c r="T121" s="8">
        <v>4500</v>
      </c>
      <c r="U121" s="3"/>
      <c r="V121" s="7">
        <f t="shared" si="25"/>
        <v>4.178364151864038E-4</v>
      </c>
      <c r="W121" s="3"/>
      <c r="X121" s="8">
        <f t="shared" si="26"/>
        <v>16199.490000000002</v>
      </c>
      <c r="Y121" s="3"/>
      <c r="Z121" s="7">
        <f t="shared" si="27"/>
        <v>3.5998866666666669</v>
      </c>
    </row>
    <row r="122" spans="1:26" s="70" customFormat="1" ht="15" hidden="1" customHeight="1" outlineLevel="2" x14ac:dyDescent="0.25">
      <c r="A122" s="25"/>
      <c r="B122" s="12" t="str">
        <f>CONCATENATE("          ","6259"," - ","ROYALTY &amp; COMMISSIONS")</f>
        <v xml:space="preserve">          6259 - ROYALTY &amp; COMMISSIONS</v>
      </c>
      <c r="C122" s="12"/>
      <c r="D122" s="8">
        <v>1260.81</v>
      </c>
      <c r="E122" s="3"/>
      <c r="F122" s="7">
        <f t="shared" ref="F122:F148" si="28">IF(D$12=0,0,D122/D$12)</f>
        <v>9.9156547655294578E-4</v>
      </c>
      <c r="G122" s="3"/>
      <c r="H122" s="8">
        <v>6500</v>
      </c>
      <c r="I122" s="3"/>
      <c r="J122" s="7">
        <f t="shared" ref="J122:J148" si="29">IF(H$12=0,0,H122/H$12)</f>
        <v>8.4596973510735352E-3</v>
      </c>
      <c r="K122" s="3"/>
      <c r="L122" s="8">
        <f t="shared" ref="L122:L148" si="30">+D122-H122</f>
        <v>-5239.1900000000005</v>
      </c>
      <c r="M122" s="3"/>
      <c r="N122" s="7">
        <f t="shared" ref="N122:N148" si="31">IF(H122=0,0,L122/H122)</f>
        <v>-0.80602923076923083</v>
      </c>
      <c r="O122" s="12"/>
      <c r="P122" s="8">
        <v>13311.46</v>
      </c>
      <c r="Q122" s="3"/>
      <c r="R122" s="7">
        <f t="shared" ref="R122:R148" si="32">IF(P$12=0,0,P122/P$12)</f>
        <v>1.3306515259010206E-3</v>
      </c>
      <c r="S122" s="3"/>
      <c r="T122" s="8">
        <v>40500</v>
      </c>
      <c r="U122" s="3"/>
      <c r="V122" s="7">
        <f t="shared" ref="V122:V148" si="33">IF(T$12=0,0,T122/T$12)</f>
        <v>3.7605277366776343E-3</v>
      </c>
      <c r="W122" s="3"/>
      <c r="X122" s="8">
        <f t="shared" ref="X122:X148" si="34">+P122-T122</f>
        <v>-27188.54</v>
      </c>
      <c r="Y122" s="3"/>
      <c r="Z122" s="7">
        <f t="shared" ref="Z122:Z148" si="35">IF(T122=0,0,X122/T122)</f>
        <v>-0.67132197530864202</v>
      </c>
    </row>
    <row r="123" spans="1:26" s="69" customFormat="1" ht="15" customHeight="1" outlineLevel="1" collapsed="1" x14ac:dyDescent="0.25">
      <c r="A123" s="26"/>
      <c r="B123" s="14" t="str">
        <f>CONCATENATE("     ","Services                                          ")</f>
        <v xml:space="preserve">     Services                                          </v>
      </c>
      <c r="C123" s="14"/>
      <c r="D123" s="2">
        <f>SUM(OSRRefD22_18x_0)</f>
        <v>5084.1499999999996</v>
      </c>
      <c r="E123" s="2"/>
      <c r="F123" s="6">
        <f t="shared" si="28"/>
        <v>3.9984356228271187E-3</v>
      </c>
      <c r="G123" s="2"/>
      <c r="H123" s="2">
        <f>SUM(OSRRefH22_18x_0)</f>
        <v>4360</v>
      </c>
      <c r="I123" s="2"/>
      <c r="J123" s="6">
        <f t="shared" si="29"/>
        <v>5.6745046847200943E-3</v>
      </c>
      <c r="K123" s="2"/>
      <c r="L123" s="2">
        <f t="shared" si="30"/>
        <v>724.14999999999964</v>
      </c>
      <c r="M123" s="2"/>
      <c r="N123" s="6">
        <f t="shared" si="31"/>
        <v>0.16608944954128432</v>
      </c>
      <c r="O123" s="14"/>
      <c r="P123" s="2">
        <f>SUM(OSRRefP22_18x_0)</f>
        <v>61594.909999999996</v>
      </c>
      <c r="Q123" s="2"/>
      <c r="R123" s="6">
        <f t="shared" si="32"/>
        <v>6.1572029649066317E-3</v>
      </c>
      <c r="S123" s="2"/>
      <c r="T123" s="2">
        <f>SUM(OSRRefT22_18x_0)</f>
        <v>48140</v>
      </c>
      <c r="U123" s="2"/>
      <c r="V123" s="6">
        <f t="shared" si="33"/>
        <v>4.4699211171274397E-3</v>
      </c>
      <c r="W123" s="2"/>
      <c r="X123" s="2">
        <f t="shared" si="34"/>
        <v>13454.909999999996</v>
      </c>
      <c r="Y123" s="2"/>
      <c r="Z123" s="6">
        <f t="shared" si="35"/>
        <v>0.27949542999584537</v>
      </c>
    </row>
    <row r="124" spans="1:26" s="70" customFormat="1" ht="15" hidden="1" customHeight="1" outlineLevel="2" x14ac:dyDescent="0.25">
      <c r="A124" s="25"/>
      <c r="B124" s="12" t="str">
        <f>CONCATENATE("          ","6282"," - ","JANITORIAL/EXTERMINATOR EXPENS")</f>
        <v xml:space="preserve">          6282 - JANITORIAL/EXTERMINATOR EXPENS</v>
      </c>
      <c r="C124" s="12"/>
      <c r="D124" s="8">
        <v>236.05</v>
      </c>
      <c r="E124" s="3"/>
      <c r="F124" s="7">
        <f t="shared" si="28"/>
        <v>1.8564179435467905E-4</v>
      </c>
      <c r="G124" s="3"/>
      <c r="H124" s="8">
        <v>4300</v>
      </c>
      <c r="I124" s="3"/>
      <c r="J124" s="7">
        <f t="shared" si="29"/>
        <v>5.5964151707101851E-3</v>
      </c>
      <c r="K124" s="3"/>
      <c r="L124" s="8">
        <f t="shared" si="30"/>
        <v>-4063.95</v>
      </c>
      <c r="M124" s="3"/>
      <c r="N124" s="7">
        <f t="shared" si="31"/>
        <v>-0.94510465116279063</v>
      </c>
      <c r="O124" s="12"/>
      <c r="P124" s="8">
        <v>3199.33</v>
      </c>
      <c r="Q124" s="3"/>
      <c r="R124" s="7">
        <f t="shared" si="32"/>
        <v>3.1981415610015073E-4</v>
      </c>
      <c r="S124" s="3"/>
      <c r="T124" s="8">
        <v>47300</v>
      </c>
      <c r="U124" s="3"/>
      <c r="V124" s="7">
        <f t="shared" si="33"/>
        <v>4.3919249862926441E-3</v>
      </c>
      <c r="W124" s="3"/>
      <c r="X124" s="8">
        <f t="shared" si="34"/>
        <v>-44100.67</v>
      </c>
      <c r="Y124" s="3"/>
      <c r="Z124" s="7">
        <f t="shared" si="35"/>
        <v>-0.93236088794925998</v>
      </c>
    </row>
    <row r="125" spans="1:26" s="70" customFormat="1" ht="15" hidden="1" customHeight="1" outlineLevel="2" x14ac:dyDescent="0.25">
      <c r="A125" s="25"/>
      <c r="B125" s="12" t="str">
        <f>CONCATENATE("          ","6284"," - ","TRASH REMOVAL EXPENSE")</f>
        <v xml:space="preserve">          6284 - TRASH REMOVAL EXPENSE</v>
      </c>
      <c r="C125" s="12"/>
      <c r="D125" s="8">
        <v>149.69999999999999</v>
      </c>
      <c r="E125" s="3"/>
      <c r="F125" s="7">
        <f t="shared" si="28"/>
        <v>1.1773173740688604E-4</v>
      </c>
      <c r="G125" s="3"/>
      <c r="H125" s="8">
        <v>60</v>
      </c>
      <c r="I125" s="3"/>
      <c r="J125" s="7">
        <f t="shared" si="29"/>
        <v>7.8089514009909564E-5</v>
      </c>
      <c r="K125" s="3"/>
      <c r="L125" s="8">
        <f t="shared" si="30"/>
        <v>89.699999999999989</v>
      </c>
      <c r="M125" s="3"/>
      <c r="N125" s="7">
        <f t="shared" si="31"/>
        <v>1.4949999999999999</v>
      </c>
      <c r="O125" s="12"/>
      <c r="P125" s="8">
        <v>1489.87</v>
      </c>
      <c r="Q125" s="3"/>
      <c r="R125" s="7">
        <f t="shared" si="32"/>
        <v>1.4893165654963119E-4</v>
      </c>
      <c r="S125" s="3"/>
      <c r="T125" s="8">
        <v>840</v>
      </c>
      <c r="U125" s="3"/>
      <c r="V125" s="7">
        <f t="shared" si="33"/>
        <v>7.799613083479538E-5</v>
      </c>
      <c r="W125" s="3"/>
      <c r="X125" s="8">
        <f t="shared" si="34"/>
        <v>649.86999999999989</v>
      </c>
      <c r="Y125" s="3"/>
      <c r="Z125" s="7">
        <f t="shared" si="35"/>
        <v>0.77365476190476179</v>
      </c>
    </row>
    <row r="126" spans="1:26" s="70" customFormat="1" ht="15" hidden="1" customHeight="1" outlineLevel="2" x14ac:dyDescent="0.25">
      <c r="A126" s="25"/>
      <c r="B126" s="12" t="str">
        <f>CONCATENATE("          ","6285"," - ","JANITORIAL SERVICES")</f>
        <v xml:space="preserve">          6285 - JANITORIAL SERVICES</v>
      </c>
      <c r="C126" s="12"/>
      <c r="D126" s="8">
        <v>4698.3999999999996</v>
      </c>
      <c r="E126" s="3"/>
      <c r="F126" s="7">
        <f t="shared" si="28"/>
        <v>3.6950620910655534E-3</v>
      </c>
      <c r="G126" s="3"/>
      <c r="H126" s="8"/>
      <c r="I126" s="3"/>
      <c r="J126" s="7">
        <f t="shared" si="29"/>
        <v>0</v>
      </c>
      <c r="K126" s="3"/>
      <c r="L126" s="8">
        <f t="shared" si="30"/>
        <v>4698.3999999999996</v>
      </c>
      <c r="M126" s="3"/>
      <c r="N126" s="7">
        <f t="shared" si="31"/>
        <v>0</v>
      </c>
      <c r="O126" s="12"/>
      <c r="P126" s="8">
        <v>56905.71</v>
      </c>
      <c r="Q126" s="3"/>
      <c r="R126" s="7">
        <f t="shared" si="32"/>
        <v>5.6884571522568504E-3</v>
      </c>
      <c r="S126" s="3"/>
      <c r="T126" s="8"/>
      <c r="U126" s="3"/>
      <c r="V126" s="7">
        <f t="shared" si="33"/>
        <v>0</v>
      </c>
      <c r="W126" s="3"/>
      <c r="X126" s="8">
        <f t="shared" si="34"/>
        <v>56905.71</v>
      </c>
      <c r="Y126" s="3"/>
      <c r="Z126" s="7">
        <f t="shared" si="35"/>
        <v>0</v>
      </c>
    </row>
    <row r="127" spans="1:26" s="69" customFormat="1" ht="15" customHeight="1" outlineLevel="1" collapsed="1" x14ac:dyDescent="0.25">
      <c r="A127" s="26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SUM(OSRRefD22_19x_0)</f>
        <v>2287.59</v>
      </c>
      <c r="E127" s="2"/>
      <c r="F127" s="6">
        <f t="shared" si="28"/>
        <v>1.7990777900776117E-3</v>
      </c>
      <c r="G127" s="2"/>
      <c r="H127" s="2">
        <f>SUM(OSRRefH22_19x_0)</f>
        <v>481</v>
      </c>
      <c r="I127" s="2"/>
      <c r="J127" s="6">
        <f t="shared" si="29"/>
        <v>6.2601760397944164E-4</v>
      </c>
      <c r="K127" s="2"/>
      <c r="L127" s="2">
        <f t="shared" si="30"/>
        <v>1806.5900000000001</v>
      </c>
      <c r="M127" s="2"/>
      <c r="N127" s="6">
        <f t="shared" si="31"/>
        <v>3.755904365904366</v>
      </c>
      <c r="O127" s="14"/>
      <c r="P127" s="2">
        <f>SUM(OSRRefP22_19x_0)</f>
        <v>7183.53</v>
      </c>
      <c r="Q127" s="2"/>
      <c r="R127" s="6">
        <f t="shared" si="32"/>
        <v>7.1808615702978929E-4</v>
      </c>
      <c r="S127" s="2"/>
      <c r="T127" s="2">
        <f>SUM(OSRRefT22_19x_0)</f>
        <v>12886</v>
      </c>
      <c r="U127" s="2"/>
      <c r="V127" s="6">
        <f t="shared" si="33"/>
        <v>1.1964977880204442E-3</v>
      </c>
      <c r="W127" s="2"/>
      <c r="X127" s="2">
        <f t="shared" si="34"/>
        <v>-5702.47</v>
      </c>
      <c r="Y127" s="2"/>
      <c r="Z127" s="6">
        <f t="shared" si="35"/>
        <v>-0.44253220549433497</v>
      </c>
    </row>
    <row r="128" spans="1:26" s="70" customFormat="1" ht="15" hidden="1" customHeight="1" outlineLevel="2" x14ac:dyDescent="0.25">
      <c r="A128" s="25"/>
      <c r="B128" s="12" t="str">
        <f>CONCATENATE("          ","6258"," - ","MEMBERSHIP DUES")</f>
        <v xml:space="preserve">          6258 - MEMBERSHIP DUES</v>
      </c>
      <c r="C128" s="12"/>
      <c r="D128" s="8">
        <v>843.84</v>
      </c>
      <c r="E128" s="3"/>
      <c r="F128" s="7">
        <f t="shared" si="28"/>
        <v>6.6363893983584991E-4</v>
      </c>
      <c r="G128" s="3"/>
      <c r="H128" s="8">
        <v>300</v>
      </c>
      <c r="I128" s="3"/>
      <c r="J128" s="7">
        <f t="shared" si="29"/>
        <v>3.9044757004954781E-4</v>
      </c>
      <c r="K128" s="3"/>
      <c r="L128" s="8">
        <f t="shared" si="30"/>
        <v>543.84</v>
      </c>
      <c r="M128" s="3"/>
      <c r="N128" s="7">
        <f t="shared" si="31"/>
        <v>1.8128000000000002</v>
      </c>
      <c r="O128" s="12"/>
      <c r="P128" s="8">
        <v>3832.14</v>
      </c>
      <c r="Q128" s="3"/>
      <c r="R128" s="7">
        <f t="shared" si="32"/>
        <v>3.8307164942585843E-4</v>
      </c>
      <c r="S128" s="3"/>
      <c r="T128" s="8">
        <v>9695</v>
      </c>
      <c r="U128" s="3"/>
      <c r="V128" s="7">
        <f t="shared" si="33"/>
        <v>9.0020534338492992E-4</v>
      </c>
      <c r="W128" s="3"/>
      <c r="X128" s="8">
        <f t="shared" si="34"/>
        <v>-5862.8600000000006</v>
      </c>
      <c r="Y128" s="3"/>
      <c r="Z128" s="7">
        <f t="shared" si="35"/>
        <v>-0.60473027333677154</v>
      </c>
    </row>
    <row r="129" spans="1:26" s="70" customFormat="1" ht="15" hidden="1" customHeight="1" outlineLevel="2" x14ac:dyDescent="0.25">
      <c r="A129" s="25"/>
      <c r="B129" s="12" t="str">
        <f>CONCATENATE("          ","6275"," - ","SUBSCRIPTIONS")</f>
        <v xml:space="preserve">          6275 - SUBSCRIPTIONS</v>
      </c>
      <c r="C129" s="12"/>
      <c r="D129" s="8">
        <v>1443.75</v>
      </c>
      <c r="E129" s="3"/>
      <c r="F129" s="7">
        <f t="shared" si="28"/>
        <v>1.1354388502417617E-3</v>
      </c>
      <c r="G129" s="3"/>
      <c r="H129" s="8">
        <v>181</v>
      </c>
      <c r="I129" s="3"/>
      <c r="J129" s="7">
        <f t="shared" si="29"/>
        <v>2.3557003392989383E-4</v>
      </c>
      <c r="K129" s="3"/>
      <c r="L129" s="8">
        <f t="shared" si="30"/>
        <v>1262.75</v>
      </c>
      <c r="M129" s="3"/>
      <c r="N129" s="7">
        <f t="shared" si="31"/>
        <v>6.9765193370165743</v>
      </c>
      <c r="O129" s="12"/>
      <c r="P129" s="8">
        <v>3351.39</v>
      </c>
      <c r="Q129" s="3"/>
      <c r="R129" s="7">
        <f t="shared" si="32"/>
        <v>3.3501450760393085E-4</v>
      </c>
      <c r="S129" s="3"/>
      <c r="T129" s="8">
        <v>3191</v>
      </c>
      <c r="U129" s="3"/>
      <c r="V129" s="7">
        <f t="shared" si="33"/>
        <v>2.9629244463551431E-4</v>
      </c>
      <c r="W129" s="3"/>
      <c r="X129" s="8">
        <f t="shared" si="34"/>
        <v>160.38999999999987</v>
      </c>
      <c r="Y129" s="3"/>
      <c r="Z129" s="7">
        <f t="shared" si="35"/>
        <v>5.0263240363522366E-2</v>
      </c>
    </row>
    <row r="130" spans="1:26" s="69" customFormat="1" ht="15" customHeight="1" outlineLevel="1" collapsed="1" x14ac:dyDescent="0.25">
      <c r="A130" s="26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SUM(OSRRefD22_20x_0)</f>
        <v>18444.620000000003</v>
      </c>
      <c r="E130" s="2"/>
      <c r="F130" s="6">
        <f t="shared" si="28"/>
        <v>1.4505792641348022E-2</v>
      </c>
      <c r="G130" s="2"/>
      <c r="H130" s="2">
        <f>SUM(OSRRefH22_20x_0)</f>
        <v>12230</v>
      </c>
      <c r="I130" s="2"/>
      <c r="J130" s="6">
        <f t="shared" si="29"/>
        <v>1.59172459390199E-2</v>
      </c>
      <c r="K130" s="2"/>
      <c r="L130" s="2">
        <f t="shared" si="30"/>
        <v>6214.6200000000026</v>
      </c>
      <c r="M130" s="2"/>
      <c r="N130" s="6">
        <f t="shared" si="31"/>
        <v>0.50814554374488985</v>
      </c>
      <c r="O130" s="14"/>
      <c r="P130" s="2">
        <f>SUM(OSRRefP22_20x_0)</f>
        <v>121189.04000000001</v>
      </c>
      <c r="Q130" s="2"/>
      <c r="R130" s="6">
        <f t="shared" si="32"/>
        <v>1.2114402251780034E-2</v>
      </c>
      <c r="S130" s="2"/>
      <c r="T130" s="2">
        <f>SUM(OSRRefT22_20x_0)</f>
        <v>125760</v>
      </c>
      <c r="U130" s="2"/>
      <c r="V130" s="6">
        <f t="shared" si="33"/>
        <v>1.1677135016409365E-2</v>
      </c>
      <c r="W130" s="2"/>
      <c r="X130" s="2">
        <f t="shared" si="34"/>
        <v>-4570.9599999999919</v>
      </c>
      <c r="Y130" s="2"/>
      <c r="Z130" s="6">
        <f t="shared" si="35"/>
        <v>-3.634669211195922E-2</v>
      </c>
    </row>
    <row r="131" spans="1:26" s="70" customFormat="1" ht="15" hidden="1" customHeight="1" outlineLevel="2" x14ac:dyDescent="0.25">
      <c r="A131" s="25"/>
      <c r="B131" s="12" t="str">
        <f>CONCATENATE("          ","6234"," - ","EXPENDABLE SUPPLIES &amp; EQUIPMEN")</f>
        <v xml:space="preserve">          6234 - EXPENDABLE SUPPLIES &amp; EQUIPMEN</v>
      </c>
      <c r="C131" s="12"/>
      <c r="D131" s="8"/>
      <c r="E131" s="3"/>
      <c r="F131" s="7">
        <f t="shared" si="28"/>
        <v>0</v>
      </c>
      <c r="G131" s="3"/>
      <c r="H131" s="8">
        <v>300</v>
      </c>
      <c r="I131" s="3"/>
      <c r="J131" s="7">
        <f t="shared" si="29"/>
        <v>3.9044757004954781E-4</v>
      </c>
      <c r="K131" s="3"/>
      <c r="L131" s="8">
        <f t="shared" si="30"/>
        <v>-300</v>
      </c>
      <c r="M131" s="3"/>
      <c r="N131" s="7">
        <f t="shared" si="31"/>
        <v>-1</v>
      </c>
      <c r="O131" s="12"/>
      <c r="P131" s="8">
        <v>10282.879999999999</v>
      </c>
      <c r="Q131" s="3"/>
      <c r="R131" s="7">
        <f t="shared" si="32"/>
        <v>1.0279060270366352E-3</v>
      </c>
      <c r="S131" s="3"/>
      <c r="T131" s="8">
        <v>2700</v>
      </c>
      <c r="U131" s="3"/>
      <c r="V131" s="7">
        <f t="shared" si="33"/>
        <v>2.5070184911184229E-4</v>
      </c>
      <c r="W131" s="3"/>
      <c r="X131" s="8">
        <f t="shared" si="34"/>
        <v>7582.8799999999992</v>
      </c>
      <c r="Y131" s="3"/>
      <c r="Z131" s="7">
        <f t="shared" si="35"/>
        <v>2.8084740740740739</v>
      </c>
    </row>
    <row r="132" spans="1:26" s="70" customFormat="1" ht="15" hidden="1" customHeight="1" outlineLevel="2" x14ac:dyDescent="0.25">
      <c r="A132" s="25"/>
      <c r="B132" s="12" t="str">
        <f>CONCATENATE("          ","6235"," - ","COVID-19 EXPENSES")</f>
        <v xml:space="preserve">          6235 - COVID-19 EXPENSES</v>
      </c>
      <c r="C132" s="12"/>
      <c r="D132" s="8">
        <v>156</v>
      </c>
      <c r="E132" s="3"/>
      <c r="F132" s="7">
        <f t="shared" si="28"/>
        <v>1.2268637966248645E-4</v>
      </c>
      <c r="G132" s="3"/>
      <c r="H132" s="8">
        <v>125</v>
      </c>
      <c r="I132" s="3"/>
      <c r="J132" s="7">
        <f t="shared" si="29"/>
        <v>1.6268648752064491E-4</v>
      </c>
      <c r="K132" s="3"/>
      <c r="L132" s="8">
        <f t="shared" si="30"/>
        <v>31</v>
      </c>
      <c r="M132" s="3"/>
      <c r="N132" s="7">
        <f t="shared" si="31"/>
        <v>0.248</v>
      </c>
      <c r="O132" s="12"/>
      <c r="P132" s="8">
        <v>3586.32</v>
      </c>
      <c r="Q132" s="3"/>
      <c r="R132" s="7">
        <f t="shared" si="32"/>
        <v>3.5849878077756674E-4</v>
      </c>
      <c r="S132" s="3"/>
      <c r="T132" s="8">
        <v>1375</v>
      </c>
      <c r="U132" s="3"/>
      <c r="V132" s="7">
        <f t="shared" si="33"/>
        <v>1.2767223797362337E-4</v>
      </c>
      <c r="W132" s="3"/>
      <c r="X132" s="8">
        <f t="shared" si="34"/>
        <v>2211.3200000000002</v>
      </c>
      <c r="Y132" s="3"/>
      <c r="Z132" s="7">
        <f t="shared" si="35"/>
        <v>1.6082327272727275</v>
      </c>
    </row>
    <row r="133" spans="1:26" s="70" customFormat="1" ht="15" hidden="1" customHeight="1" outlineLevel="2" x14ac:dyDescent="0.25">
      <c r="A133" s="25"/>
      <c r="B133" s="12" t="str">
        <f>CONCATENATE("          ","6237"," - ","JANITORIAL SUPPLIES")</f>
        <v xml:space="preserve">          6237 - JANITORIAL SUPPLIES</v>
      </c>
      <c r="C133" s="12"/>
      <c r="D133" s="8">
        <v>452.35</v>
      </c>
      <c r="E133" s="3"/>
      <c r="F133" s="7">
        <f t="shared" si="28"/>
        <v>3.5575117846362665E-4</v>
      </c>
      <c r="G133" s="3"/>
      <c r="H133" s="8">
        <v>50</v>
      </c>
      <c r="I133" s="3"/>
      <c r="J133" s="7">
        <f t="shared" si="29"/>
        <v>6.5074595008257963E-5</v>
      </c>
      <c r="K133" s="3"/>
      <c r="L133" s="8">
        <f t="shared" si="30"/>
        <v>402.35</v>
      </c>
      <c r="M133" s="3"/>
      <c r="N133" s="7">
        <f t="shared" si="31"/>
        <v>8.0470000000000006</v>
      </c>
      <c r="O133" s="12"/>
      <c r="P133" s="8">
        <v>6648.25</v>
      </c>
      <c r="Q133" s="3"/>
      <c r="R133" s="7">
        <f t="shared" si="32"/>
        <v>6.6457804080630233E-4</v>
      </c>
      <c r="S133" s="3"/>
      <c r="T133" s="8">
        <v>230</v>
      </c>
      <c r="U133" s="3"/>
      <c r="V133" s="7">
        <f t="shared" si="33"/>
        <v>2.1356083442860637E-5</v>
      </c>
      <c r="W133" s="3"/>
      <c r="X133" s="8">
        <f t="shared" si="34"/>
        <v>6418.25</v>
      </c>
      <c r="Y133" s="3"/>
      <c r="Z133" s="7">
        <f t="shared" si="35"/>
        <v>27.905434782608694</v>
      </c>
    </row>
    <row r="134" spans="1:26" s="70" customFormat="1" ht="15" hidden="1" customHeight="1" outlineLevel="2" x14ac:dyDescent="0.25">
      <c r="A134" s="25"/>
      <c r="B134" s="12" t="str">
        <f>CONCATENATE("          ","6241"," - ","OFFICE EXPENSE")</f>
        <v xml:space="preserve">          6241 - OFFICE EXPENSE</v>
      </c>
      <c r="C134" s="12"/>
      <c r="D134" s="8">
        <v>828.66</v>
      </c>
      <c r="E134" s="3"/>
      <c r="F134" s="7">
        <f t="shared" si="28"/>
        <v>6.5170061135330789E-4</v>
      </c>
      <c r="G134" s="3"/>
      <c r="H134" s="8">
        <v>580</v>
      </c>
      <c r="I134" s="3"/>
      <c r="J134" s="7">
        <f t="shared" si="29"/>
        <v>7.5486530209579236E-4</v>
      </c>
      <c r="K134" s="3"/>
      <c r="L134" s="8">
        <f t="shared" si="30"/>
        <v>248.65999999999997</v>
      </c>
      <c r="M134" s="3"/>
      <c r="N134" s="7">
        <f t="shared" si="31"/>
        <v>0.42872413793103442</v>
      </c>
      <c r="O134" s="12"/>
      <c r="P134" s="8">
        <v>19855.45</v>
      </c>
      <c r="Q134" s="3"/>
      <c r="R134" s="7">
        <f t="shared" si="32"/>
        <v>1.9848074396010221E-3</v>
      </c>
      <c r="S134" s="3"/>
      <c r="T134" s="8">
        <v>7630</v>
      </c>
      <c r="U134" s="3"/>
      <c r="V134" s="7">
        <f t="shared" si="33"/>
        <v>7.0846485508272469E-4</v>
      </c>
      <c r="W134" s="3"/>
      <c r="X134" s="8">
        <f t="shared" si="34"/>
        <v>12225.45</v>
      </c>
      <c r="Y134" s="3"/>
      <c r="Z134" s="7">
        <f t="shared" si="35"/>
        <v>1.6022870249017038</v>
      </c>
    </row>
    <row r="135" spans="1:26" s="70" customFormat="1" ht="15" hidden="1" customHeight="1" outlineLevel="2" x14ac:dyDescent="0.25">
      <c r="A135" s="25"/>
      <c r="B135" s="12" t="str">
        <f>CONCATENATE("          ","6243"," - ","PAPER SUPPLIES")</f>
        <v xml:space="preserve">          6243 - PAPER SUPPLIES</v>
      </c>
      <c r="C135" s="12"/>
      <c r="D135" s="8">
        <v>2845.58</v>
      </c>
      <c r="E135" s="3"/>
      <c r="F135" s="7">
        <f t="shared" si="28"/>
        <v>2.2379096682049885E-3</v>
      </c>
      <c r="G135" s="3"/>
      <c r="H135" s="8">
        <v>2800</v>
      </c>
      <c r="I135" s="3"/>
      <c r="J135" s="7">
        <f t="shared" si="29"/>
        <v>3.6441773204624463E-3</v>
      </c>
      <c r="K135" s="3"/>
      <c r="L135" s="8">
        <f t="shared" si="30"/>
        <v>45.579999999999927</v>
      </c>
      <c r="M135" s="3"/>
      <c r="N135" s="7">
        <f t="shared" si="31"/>
        <v>1.6278571428571403E-2</v>
      </c>
      <c r="O135" s="12"/>
      <c r="P135" s="8">
        <v>10090.94</v>
      </c>
      <c r="Q135" s="3"/>
      <c r="R135" s="7">
        <f t="shared" si="32"/>
        <v>1.0087191569351256E-3</v>
      </c>
      <c r="S135" s="3"/>
      <c r="T135" s="8">
        <v>37350</v>
      </c>
      <c r="U135" s="3"/>
      <c r="V135" s="7">
        <f t="shared" si="33"/>
        <v>3.4680422460471516E-3</v>
      </c>
      <c r="W135" s="3"/>
      <c r="X135" s="8">
        <f t="shared" si="34"/>
        <v>-27259.059999999998</v>
      </c>
      <c r="Y135" s="3"/>
      <c r="Z135" s="7">
        <f t="shared" si="35"/>
        <v>-0.72982757697456491</v>
      </c>
    </row>
    <row r="136" spans="1:26" s="70" customFormat="1" ht="15" hidden="1" customHeight="1" outlineLevel="2" x14ac:dyDescent="0.25">
      <c r="A136" s="25"/>
      <c r="B136" s="12" t="str">
        <f>CONCATENATE("          ","6245"," - ","PRINTING")</f>
        <v xml:space="preserve">          6245 - PRINTING</v>
      </c>
      <c r="C136" s="12"/>
      <c r="D136" s="8">
        <v>4762.72</v>
      </c>
      <c r="E136" s="3"/>
      <c r="F136" s="7">
        <f t="shared" si="28"/>
        <v>3.7456466291417791E-3</v>
      </c>
      <c r="G136" s="3"/>
      <c r="H136" s="8">
        <v>2300</v>
      </c>
      <c r="I136" s="3"/>
      <c r="J136" s="7">
        <f t="shared" si="29"/>
        <v>2.9934313703798665E-3</v>
      </c>
      <c r="K136" s="3"/>
      <c r="L136" s="8">
        <f t="shared" si="30"/>
        <v>2462.7200000000003</v>
      </c>
      <c r="M136" s="3"/>
      <c r="N136" s="7">
        <f t="shared" si="31"/>
        <v>1.0707478260869567</v>
      </c>
      <c r="O136" s="12"/>
      <c r="P136" s="8">
        <v>11703.4</v>
      </c>
      <c r="Q136" s="3"/>
      <c r="R136" s="7">
        <f t="shared" si="32"/>
        <v>1.1699052596957813E-3</v>
      </c>
      <c r="S136" s="3"/>
      <c r="T136" s="8">
        <v>10345</v>
      </c>
      <c r="U136" s="3"/>
      <c r="V136" s="7">
        <f t="shared" si="33"/>
        <v>9.6055949224518823E-4</v>
      </c>
      <c r="W136" s="3"/>
      <c r="X136" s="8">
        <f t="shared" si="34"/>
        <v>1358.3999999999996</v>
      </c>
      <c r="Y136" s="3"/>
      <c r="Z136" s="7">
        <f t="shared" si="35"/>
        <v>0.13130981150314158</v>
      </c>
    </row>
    <row r="137" spans="1:26" s="70" customFormat="1" ht="15" hidden="1" customHeight="1" outlineLevel="2" x14ac:dyDescent="0.25">
      <c r="A137" s="25"/>
      <c r="B137" s="12" t="str">
        <f>CONCATENATE("          ","6247"," - ","STORE SUPPLIES")</f>
        <v xml:space="preserve">          6247 - STORE SUPPLIES</v>
      </c>
      <c r="C137" s="12"/>
      <c r="D137" s="8">
        <v>9399.31</v>
      </c>
      <c r="E137" s="3"/>
      <c r="F137" s="7">
        <f t="shared" si="28"/>
        <v>7.3920981745218307E-3</v>
      </c>
      <c r="G137" s="3"/>
      <c r="H137" s="8">
        <v>6075</v>
      </c>
      <c r="I137" s="3"/>
      <c r="J137" s="7">
        <f t="shared" si="29"/>
        <v>7.9065632935033433E-3</v>
      </c>
      <c r="K137" s="3"/>
      <c r="L137" s="8">
        <f t="shared" si="30"/>
        <v>3324.3099999999995</v>
      </c>
      <c r="M137" s="3"/>
      <c r="N137" s="7">
        <f t="shared" si="31"/>
        <v>0.54721152263374473</v>
      </c>
      <c r="O137" s="12"/>
      <c r="P137" s="8">
        <v>59021.8</v>
      </c>
      <c r="Q137" s="3"/>
      <c r="R137" s="7">
        <f t="shared" si="32"/>
        <v>5.8999875469275993E-3</v>
      </c>
      <c r="S137" s="3"/>
      <c r="T137" s="8">
        <v>66130</v>
      </c>
      <c r="U137" s="3"/>
      <c r="V137" s="7">
        <f t="shared" si="33"/>
        <v>6.140338252505974E-3</v>
      </c>
      <c r="W137" s="3"/>
      <c r="X137" s="8">
        <f t="shared" si="34"/>
        <v>-7108.1999999999971</v>
      </c>
      <c r="Y137" s="3"/>
      <c r="Z137" s="7">
        <f t="shared" si="35"/>
        <v>-0.10748828065930738</v>
      </c>
    </row>
    <row r="138" spans="1:26" s="69" customFormat="1" ht="15" customHeight="1" outlineLevel="1" collapsed="1" x14ac:dyDescent="0.25">
      <c r="A138" s="26"/>
      <c r="B138" s="14" t="str">
        <f>CONCATENATE("     ","Telephone/Data Lines                              ")</f>
        <v xml:space="preserve">     Telephone/Data Lines                              </v>
      </c>
      <c r="C138" s="14"/>
      <c r="D138" s="2">
        <f>SUM(OSRRefD22_21x_0)</f>
        <v>1750.64</v>
      </c>
      <c r="E138" s="2"/>
      <c r="F138" s="6">
        <f t="shared" si="28"/>
        <v>1.3767928441816367E-3</v>
      </c>
      <c r="G138" s="2"/>
      <c r="H138" s="2">
        <f>SUM(OSRRefH22_21x_0)</f>
        <v>2060</v>
      </c>
      <c r="I138" s="2"/>
      <c r="J138" s="6">
        <f t="shared" si="29"/>
        <v>2.6810733143402283E-3</v>
      </c>
      <c r="K138" s="2"/>
      <c r="L138" s="2">
        <f t="shared" si="30"/>
        <v>-309.3599999999999</v>
      </c>
      <c r="M138" s="2"/>
      <c r="N138" s="6">
        <f t="shared" si="31"/>
        <v>-0.15017475728155336</v>
      </c>
      <c r="O138" s="14"/>
      <c r="P138" s="2">
        <f>SUM(OSRRefP22_21x_0)</f>
        <v>22163.71</v>
      </c>
      <c r="Q138" s="2"/>
      <c r="R138" s="6">
        <f t="shared" si="32"/>
        <v>2.2155476958295867E-3</v>
      </c>
      <c r="S138" s="2"/>
      <c r="T138" s="2">
        <f>SUM(OSRRefT22_21x_0)</f>
        <v>23260</v>
      </c>
      <c r="U138" s="2"/>
      <c r="V138" s="6">
        <f t="shared" si="33"/>
        <v>2.1597500038301673E-3</v>
      </c>
      <c r="W138" s="2"/>
      <c r="X138" s="2">
        <f t="shared" si="34"/>
        <v>-1096.2900000000009</v>
      </c>
      <c r="Y138" s="2"/>
      <c r="Z138" s="6">
        <f t="shared" si="35"/>
        <v>-4.7131986242476394E-2</v>
      </c>
    </row>
    <row r="139" spans="1:26" s="70" customFormat="1" ht="15" hidden="1" customHeight="1" outlineLevel="2" x14ac:dyDescent="0.25">
      <c r="A139" s="25"/>
      <c r="B139" s="12" t="str">
        <f>CONCATENATE("          ","6303"," - ","DATA PHONE LINES")</f>
        <v xml:space="preserve">          6303 - DATA PHONE LINES</v>
      </c>
      <c r="C139" s="12"/>
      <c r="D139" s="8"/>
      <c r="E139" s="3"/>
      <c r="F139" s="7">
        <f t="shared" si="28"/>
        <v>0</v>
      </c>
      <c r="G139" s="3"/>
      <c r="H139" s="8">
        <v>0</v>
      </c>
      <c r="I139" s="3"/>
      <c r="J139" s="7">
        <f t="shared" si="29"/>
        <v>0</v>
      </c>
      <c r="K139" s="3"/>
      <c r="L139" s="8">
        <f t="shared" si="30"/>
        <v>0</v>
      </c>
      <c r="M139" s="3"/>
      <c r="N139" s="7">
        <f t="shared" si="31"/>
        <v>0</v>
      </c>
      <c r="O139" s="12"/>
      <c r="P139" s="8">
        <v>295</v>
      </c>
      <c r="Q139" s="3"/>
      <c r="R139" s="7">
        <f t="shared" si="32"/>
        <v>2.9489041783606087E-5</v>
      </c>
      <c r="S139" s="3"/>
      <c r="T139" s="8">
        <v>0</v>
      </c>
      <c r="U139" s="3"/>
      <c r="V139" s="7">
        <f t="shared" si="33"/>
        <v>0</v>
      </c>
      <c r="W139" s="3"/>
      <c r="X139" s="8">
        <f t="shared" si="34"/>
        <v>295</v>
      </c>
      <c r="Y139" s="3"/>
      <c r="Z139" s="7">
        <f t="shared" si="35"/>
        <v>0</v>
      </c>
    </row>
    <row r="140" spans="1:26" s="70" customFormat="1" ht="15" hidden="1" customHeight="1" outlineLevel="2" x14ac:dyDescent="0.25">
      <c r="A140" s="25"/>
      <c r="B140" s="12" t="str">
        <f>CONCATENATE("          ","6309"," - ","TELEPHONE")</f>
        <v xml:space="preserve">          6309 - TELEPHONE</v>
      </c>
      <c r="C140" s="12"/>
      <c r="D140" s="8">
        <v>1750.64</v>
      </c>
      <c r="E140" s="3"/>
      <c r="F140" s="7">
        <f t="shared" si="28"/>
        <v>1.3767928441816367E-3</v>
      </c>
      <c r="G140" s="3"/>
      <c r="H140" s="8">
        <v>2060</v>
      </c>
      <c r="I140" s="3"/>
      <c r="J140" s="7">
        <f t="shared" si="29"/>
        <v>2.6810733143402283E-3</v>
      </c>
      <c r="K140" s="3"/>
      <c r="L140" s="8">
        <f t="shared" si="30"/>
        <v>-309.3599999999999</v>
      </c>
      <c r="M140" s="3"/>
      <c r="N140" s="7">
        <f t="shared" si="31"/>
        <v>-0.15017475728155336</v>
      </c>
      <c r="O140" s="12"/>
      <c r="P140" s="8">
        <v>21868.71</v>
      </c>
      <c r="Q140" s="3"/>
      <c r="R140" s="7">
        <f t="shared" si="32"/>
        <v>2.1860586540459804E-3</v>
      </c>
      <c r="S140" s="3"/>
      <c r="T140" s="8">
        <v>23260</v>
      </c>
      <c r="U140" s="3"/>
      <c r="V140" s="7">
        <f t="shared" si="33"/>
        <v>2.1597500038301673E-3</v>
      </c>
      <c r="W140" s="3"/>
      <c r="X140" s="8">
        <f t="shared" si="34"/>
        <v>-1391.2900000000009</v>
      </c>
      <c r="Y140" s="3"/>
      <c r="Z140" s="7">
        <f t="shared" si="35"/>
        <v>-5.9814703353396427E-2</v>
      </c>
    </row>
    <row r="141" spans="1:26" s="69" customFormat="1" ht="15" customHeight="1" outlineLevel="1" collapsed="1" x14ac:dyDescent="0.25">
      <c r="A141" s="26"/>
      <c r="B141" s="14" t="str">
        <f>CONCATENATE("     ","Training                                          ")</f>
        <v xml:space="preserve">     Training                                          </v>
      </c>
      <c r="C141" s="14"/>
      <c r="D141" s="2">
        <f>SUM(OSRRefD22_22x_0)</f>
        <v>5700</v>
      </c>
      <c r="E141" s="2"/>
      <c r="F141" s="6">
        <f t="shared" si="28"/>
        <v>4.4827715645908515E-3</v>
      </c>
      <c r="G141" s="2"/>
      <c r="H141" s="2">
        <f>SUM(OSRRefH22_22x_0)</f>
        <v>0</v>
      </c>
      <c r="I141" s="2"/>
      <c r="J141" s="6">
        <f t="shared" si="29"/>
        <v>0</v>
      </c>
      <c r="K141" s="2"/>
      <c r="L141" s="2">
        <f t="shared" si="30"/>
        <v>5700</v>
      </c>
      <c r="M141" s="2"/>
      <c r="N141" s="6">
        <f t="shared" si="31"/>
        <v>0</v>
      </c>
      <c r="O141" s="14"/>
      <c r="P141" s="2">
        <f>SUM(OSRRefP22_22x_0)</f>
        <v>6919</v>
      </c>
      <c r="Q141" s="2"/>
      <c r="R141" s="6">
        <f t="shared" si="32"/>
        <v>6.9164298339244247E-4</v>
      </c>
      <c r="S141" s="2"/>
      <c r="T141" s="2">
        <f>SUM(OSRRefT22_22x_0)</f>
        <v>2000</v>
      </c>
      <c r="U141" s="2"/>
      <c r="V141" s="6">
        <f t="shared" si="33"/>
        <v>1.8570507341617945E-4</v>
      </c>
      <c r="W141" s="2"/>
      <c r="X141" s="2">
        <f t="shared" si="34"/>
        <v>4919</v>
      </c>
      <c r="Y141" s="2"/>
      <c r="Z141" s="6">
        <f t="shared" si="35"/>
        <v>2.4594999999999998</v>
      </c>
    </row>
    <row r="142" spans="1:26" s="70" customFormat="1" ht="15" hidden="1" customHeight="1" outlineLevel="2" x14ac:dyDescent="0.25">
      <c r="A142" s="25"/>
      <c r="B142" s="12" t="str">
        <f>CONCATENATE("          ","6376"," - ","TRAINING")</f>
        <v xml:space="preserve">          6376 - TRAINING</v>
      </c>
      <c r="C142" s="12"/>
      <c r="D142" s="8">
        <v>5700</v>
      </c>
      <c r="E142" s="3"/>
      <c r="F142" s="7">
        <f t="shared" si="28"/>
        <v>4.4827715645908515E-3</v>
      </c>
      <c r="G142" s="3"/>
      <c r="H142" s="8">
        <v>0</v>
      </c>
      <c r="I142" s="3"/>
      <c r="J142" s="7">
        <f t="shared" si="29"/>
        <v>0</v>
      </c>
      <c r="K142" s="3"/>
      <c r="L142" s="8">
        <f t="shared" si="30"/>
        <v>5700</v>
      </c>
      <c r="M142" s="3"/>
      <c r="N142" s="7">
        <f t="shared" si="31"/>
        <v>0</v>
      </c>
      <c r="O142" s="12"/>
      <c r="P142" s="8">
        <v>6919</v>
      </c>
      <c r="Q142" s="3"/>
      <c r="R142" s="7">
        <f t="shared" si="32"/>
        <v>6.9164298339244247E-4</v>
      </c>
      <c r="S142" s="3"/>
      <c r="T142" s="8">
        <v>2000</v>
      </c>
      <c r="U142" s="3"/>
      <c r="V142" s="7">
        <f t="shared" si="33"/>
        <v>1.8570507341617945E-4</v>
      </c>
      <c r="W142" s="3"/>
      <c r="X142" s="8">
        <f t="shared" si="34"/>
        <v>4919</v>
      </c>
      <c r="Y142" s="3"/>
      <c r="Z142" s="7">
        <f t="shared" si="35"/>
        <v>2.4594999999999998</v>
      </c>
    </row>
    <row r="143" spans="1:26" s="69" customFormat="1" ht="15" customHeight="1" outlineLevel="1" collapsed="1" x14ac:dyDescent="0.25">
      <c r="A143" s="26"/>
      <c r="B143" s="14" t="str">
        <f>CONCATENATE("     ","Travel                                            ")</f>
        <v xml:space="preserve">     Travel                                            </v>
      </c>
      <c r="C143" s="14"/>
      <c r="D143" s="2">
        <f>SUM(OSRRefD22_23x_0)</f>
        <v>320.27</v>
      </c>
      <c r="E143" s="2"/>
      <c r="F143" s="6">
        <f t="shared" si="28"/>
        <v>2.5187671034938803E-4</v>
      </c>
      <c r="G143" s="2"/>
      <c r="H143" s="2">
        <f>SUM(OSRRefH22_23x_0)</f>
        <v>175</v>
      </c>
      <c r="I143" s="2"/>
      <c r="J143" s="6">
        <f t="shared" si="29"/>
        <v>2.2776108252890289E-4</v>
      </c>
      <c r="K143" s="2"/>
      <c r="L143" s="2">
        <f t="shared" si="30"/>
        <v>145.26999999999998</v>
      </c>
      <c r="M143" s="2"/>
      <c r="N143" s="6">
        <f t="shared" si="31"/>
        <v>0.83011428571428558</v>
      </c>
      <c r="O143" s="14"/>
      <c r="P143" s="2">
        <f>SUM(OSRRefP22_23x_0)</f>
        <v>1605.25</v>
      </c>
      <c r="Q143" s="2"/>
      <c r="R143" s="6">
        <f t="shared" si="32"/>
        <v>1.6046537058689382E-4</v>
      </c>
      <c r="S143" s="2"/>
      <c r="T143" s="2">
        <f>SUM(OSRRefT22_23x_0)</f>
        <v>2175</v>
      </c>
      <c r="U143" s="2"/>
      <c r="V143" s="6">
        <f t="shared" si="33"/>
        <v>2.0195426734009517E-4</v>
      </c>
      <c r="W143" s="2"/>
      <c r="X143" s="2">
        <f t="shared" si="34"/>
        <v>-569.75</v>
      </c>
      <c r="Y143" s="2"/>
      <c r="Z143" s="6">
        <f t="shared" si="35"/>
        <v>-0.26195402298850573</v>
      </c>
    </row>
    <row r="144" spans="1:26" s="70" customFormat="1" ht="15" hidden="1" customHeight="1" outlineLevel="2" x14ac:dyDescent="0.25">
      <c r="A144" s="25"/>
      <c r="B144" s="12" t="str">
        <f>CONCATENATE("          ","6292"," - ","TRAVEL/CONFERENCE")</f>
        <v xml:space="preserve">          6292 - TRAVEL/CONFERENCE</v>
      </c>
      <c r="C144" s="12"/>
      <c r="D144" s="8"/>
      <c r="E144" s="3"/>
      <c r="F144" s="7">
        <f t="shared" si="28"/>
        <v>0</v>
      </c>
      <c r="G144" s="3"/>
      <c r="H144" s="8">
        <v>125</v>
      </c>
      <c r="I144" s="3"/>
      <c r="J144" s="7">
        <f t="shared" si="29"/>
        <v>1.6268648752064491E-4</v>
      </c>
      <c r="K144" s="3"/>
      <c r="L144" s="8">
        <f t="shared" si="30"/>
        <v>-125</v>
      </c>
      <c r="M144" s="3"/>
      <c r="N144" s="7">
        <f t="shared" si="31"/>
        <v>-1</v>
      </c>
      <c r="O144" s="12"/>
      <c r="P144" s="8">
        <v>495</v>
      </c>
      <c r="Q144" s="3"/>
      <c r="R144" s="7">
        <f t="shared" si="32"/>
        <v>4.9481612484355981E-5</v>
      </c>
      <c r="S144" s="3"/>
      <c r="T144" s="8">
        <v>1375</v>
      </c>
      <c r="U144" s="3"/>
      <c r="V144" s="7">
        <f t="shared" si="33"/>
        <v>1.2767223797362337E-4</v>
      </c>
      <c r="W144" s="3"/>
      <c r="X144" s="8">
        <f t="shared" si="34"/>
        <v>-880</v>
      </c>
      <c r="Y144" s="3"/>
      <c r="Z144" s="7">
        <f t="shared" si="35"/>
        <v>-0.64</v>
      </c>
    </row>
    <row r="145" spans="1:26" s="70" customFormat="1" ht="15" hidden="1" customHeight="1" outlineLevel="2" x14ac:dyDescent="0.25">
      <c r="A145" s="25"/>
      <c r="B145" s="12" t="str">
        <f>CONCATENATE("          ","6294"," - ","TRAVEL OPERATIONAL")</f>
        <v xml:space="preserve">          6294 - TRAVEL OPERATIONAL</v>
      </c>
      <c r="C145" s="12"/>
      <c r="D145" s="8">
        <v>207.39</v>
      </c>
      <c r="E145" s="3"/>
      <c r="F145" s="7">
        <f t="shared" si="28"/>
        <v>1.6310210434745555E-4</v>
      </c>
      <c r="G145" s="3"/>
      <c r="H145" s="8">
        <v>25</v>
      </c>
      <c r="I145" s="3"/>
      <c r="J145" s="7">
        <f t="shared" si="29"/>
        <v>3.2537297504128982E-5</v>
      </c>
      <c r="K145" s="3"/>
      <c r="L145" s="8">
        <f t="shared" si="30"/>
        <v>182.39</v>
      </c>
      <c r="M145" s="3"/>
      <c r="N145" s="7">
        <f t="shared" si="31"/>
        <v>7.2955999999999994</v>
      </c>
      <c r="O145" s="12"/>
      <c r="P145" s="8">
        <v>610.87</v>
      </c>
      <c r="Q145" s="3"/>
      <c r="R145" s="7">
        <f t="shared" si="32"/>
        <v>6.1064308319835425E-5</v>
      </c>
      <c r="S145" s="3"/>
      <c r="T145" s="8">
        <v>275</v>
      </c>
      <c r="U145" s="3"/>
      <c r="V145" s="7">
        <f t="shared" si="33"/>
        <v>2.5534447594724674E-5</v>
      </c>
      <c r="W145" s="3"/>
      <c r="X145" s="8">
        <f t="shared" si="34"/>
        <v>335.87</v>
      </c>
      <c r="Y145" s="3"/>
      <c r="Z145" s="7">
        <f t="shared" si="35"/>
        <v>1.2213454545454545</v>
      </c>
    </row>
    <row r="146" spans="1:26" s="70" customFormat="1" ht="15" hidden="1" customHeight="1" outlineLevel="2" x14ac:dyDescent="0.25">
      <c r="A146" s="25"/>
      <c r="B146" s="12" t="str">
        <f>CONCATENATE("          ","6298"," - ","VEHICLE MILEAGE")</f>
        <v xml:space="preserve">          6298 - VEHICLE MILEAGE</v>
      </c>
      <c r="C146" s="12"/>
      <c r="D146" s="8">
        <v>112.88</v>
      </c>
      <c r="E146" s="3"/>
      <c r="F146" s="7">
        <f t="shared" si="28"/>
        <v>8.8774606001932514E-5</v>
      </c>
      <c r="G146" s="3"/>
      <c r="H146" s="8">
        <v>25</v>
      </c>
      <c r="I146" s="3"/>
      <c r="J146" s="7">
        <f t="shared" si="29"/>
        <v>3.2537297504128982E-5</v>
      </c>
      <c r="K146" s="3"/>
      <c r="L146" s="8">
        <f t="shared" si="30"/>
        <v>87.88</v>
      </c>
      <c r="M146" s="3"/>
      <c r="N146" s="7">
        <f t="shared" si="31"/>
        <v>3.5151999999999997</v>
      </c>
      <c r="O146" s="12"/>
      <c r="P146" s="8">
        <v>499.38</v>
      </c>
      <c r="Q146" s="3"/>
      <c r="R146" s="7">
        <f t="shared" si="32"/>
        <v>4.9919449782702403E-5</v>
      </c>
      <c r="S146" s="3"/>
      <c r="T146" s="8">
        <v>525</v>
      </c>
      <c r="U146" s="3"/>
      <c r="V146" s="7">
        <f t="shared" si="33"/>
        <v>4.8747581771747109E-5</v>
      </c>
      <c r="W146" s="3"/>
      <c r="X146" s="8">
        <f t="shared" si="34"/>
        <v>-25.620000000000005</v>
      </c>
      <c r="Y146" s="3"/>
      <c r="Z146" s="7">
        <f t="shared" si="35"/>
        <v>-4.880000000000001E-2</v>
      </c>
    </row>
    <row r="147" spans="1:26" s="69" customFormat="1" ht="15" customHeight="1" outlineLevel="1" collapsed="1" x14ac:dyDescent="0.25">
      <c r="A147" s="26"/>
      <c r="B147" s="14" t="str">
        <f>CONCATENATE("     ","Utilities                                         ")</f>
        <v xml:space="preserve">     Utilities                                         </v>
      </c>
      <c r="C147" s="14"/>
      <c r="D147" s="2">
        <f>SUM(OSRRefD22_24x_0)</f>
        <v>29715.67</v>
      </c>
      <c r="E147" s="2"/>
      <c r="F147" s="6">
        <f t="shared" si="28"/>
        <v>2.3369922894520251E-2</v>
      </c>
      <c r="G147" s="2"/>
      <c r="H147" s="2">
        <f>SUM(OSRRefH22_24x_0)</f>
        <v>6120</v>
      </c>
      <c r="I147" s="2"/>
      <c r="J147" s="6">
        <f t="shared" si="29"/>
        <v>7.9651304290107756E-3</v>
      </c>
      <c r="K147" s="2"/>
      <c r="L147" s="2">
        <f t="shared" si="30"/>
        <v>23595.67</v>
      </c>
      <c r="M147" s="2"/>
      <c r="N147" s="6">
        <f t="shared" si="31"/>
        <v>3.8555016339869277</v>
      </c>
      <c r="O147" s="14"/>
      <c r="P147" s="2">
        <f>SUM(OSRRefP22_24x_0)</f>
        <v>85002.89</v>
      </c>
      <c r="Q147" s="2"/>
      <c r="R147" s="6">
        <f t="shared" si="32"/>
        <v>8.4971314404653289E-3</v>
      </c>
      <c r="S147" s="2"/>
      <c r="T147" s="2">
        <f>SUM(OSRRefT22_24x_0)</f>
        <v>70000</v>
      </c>
      <c r="U147" s="2"/>
      <c r="V147" s="6">
        <f t="shared" si="33"/>
        <v>6.499677569566281E-3</v>
      </c>
      <c r="W147" s="2"/>
      <c r="X147" s="2">
        <f t="shared" si="34"/>
        <v>15002.89</v>
      </c>
      <c r="Y147" s="2"/>
      <c r="Z147" s="6">
        <f t="shared" si="35"/>
        <v>0.21432699999999999</v>
      </c>
    </row>
    <row r="148" spans="1:26" s="70" customFormat="1" ht="15" hidden="1" customHeight="1" outlineLevel="2" x14ac:dyDescent="0.25">
      <c r="A148" s="25"/>
      <c r="B148" s="12" t="str">
        <f>CONCATENATE("          ","6274"," - ","UTILITIES")</f>
        <v xml:space="preserve">          6274 - UTILITIES</v>
      </c>
      <c r="C148" s="12"/>
      <c r="D148" s="8">
        <v>29715.67</v>
      </c>
      <c r="E148" s="3"/>
      <c r="F148" s="7">
        <f t="shared" si="28"/>
        <v>2.3369922894520251E-2</v>
      </c>
      <c r="G148" s="3"/>
      <c r="H148" s="8">
        <v>6120</v>
      </c>
      <c r="I148" s="3"/>
      <c r="J148" s="7">
        <f t="shared" si="29"/>
        <v>7.9651304290107756E-3</v>
      </c>
      <c r="K148" s="3"/>
      <c r="L148" s="8">
        <f t="shared" si="30"/>
        <v>23595.67</v>
      </c>
      <c r="M148" s="3"/>
      <c r="N148" s="7">
        <f t="shared" si="31"/>
        <v>3.8555016339869277</v>
      </c>
      <c r="O148" s="12"/>
      <c r="P148" s="8">
        <v>85002.89</v>
      </c>
      <c r="Q148" s="3"/>
      <c r="R148" s="7">
        <f t="shared" si="32"/>
        <v>8.4971314404653289E-3</v>
      </c>
      <c r="S148" s="3"/>
      <c r="T148" s="8">
        <v>70000</v>
      </c>
      <c r="U148" s="3"/>
      <c r="V148" s="7">
        <f t="shared" si="33"/>
        <v>6.499677569566281E-3</v>
      </c>
      <c r="W148" s="3"/>
      <c r="X148" s="8">
        <f t="shared" si="34"/>
        <v>15002.89</v>
      </c>
      <c r="Y148" s="3"/>
      <c r="Z148" s="7">
        <f t="shared" si="35"/>
        <v>0.21432699999999999</v>
      </c>
    </row>
    <row r="149" spans="1:26" s="65" customFormat="1" ht="15" customHeight="1" x14ac:dyDescent="0.25">
      <c r="A149" s="35"/>
      <c r="B149" s="35"/>
      <c r="C149" s="35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35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63" customFormat="1" ht="15" customHeight="1" collapsed="1" x14ac:dyDescent="0.25">
      <c r="A150" s="11"/>
      <c r="B150" s="27" t="s">
        <v>291</v>
      </c>
      <c r="C150" s="11"/>
      <c r="D150" s="5">
        <f>SUM(OSRRefD25x_0)</f>
        <v>439266.19</v>
      </c>
      <c r="E150" s="5"/>
      <c r="F150" s="13">
        <f t="shared" ref="F150:F157" si="36">IF(D$12=0,0,D150/D$12)</f>
        <v>0.3454614010207302</v>
      </c>
      <c r="G150" s="5"/>
      <c r="H150" s="5">
        <f>SUM(OSRRefH25x_0)</f>
        <v>303583</v>
      </c>
      <c r="I150" s="5"/>
      <c r="J150" s="13">
        <f t="shared" ref="J150:J157" si="37">IF(H$12=0,0,H150/H$12)</f>
        <v>0.39511081552783955</v>
      </c>
      <c r="K150" s="5"/>
      <c r="L150" s="5">
        <f t="shared" ref="L150:L157" si="38">+D150-H150</f>
        <v>135683.19</v>
      </c>
      <c r="M150" s="5"/>
      <c r="N150" s="13">
        <f t="shared" ref="N150:N157" si="39">IF(H150=0,0,L150/H150)</f>
        <v>0.44693935431167098</v>
      </c>
      <c r="O150" s="11"/>
      <c r="P150" s="5">
        <f>SUM(OSRRefP25x_0)</f>
        <v>1410065.38</v>
      </c>
      <c r="Q150" s="5"/>
      <c r="R150" s="13">
        <f t="shared" ref="R150:R157" si="40">IF(P$12=0,0,P150/P$12)</f>
        <v>0.14095415901164879</v>
      </c>
      <c r="S150" s="5"/>
      <c r="T150" s="5">
        <f>SUM(OSRRefT25x_0)</f>
        <v>1057628.23</v>
      </c>
      <c r="U150" s="5"/>
      <c r="V150" s="13">
        <f t="shared" ref="V150:V157" si="41">IF(T$12=0,0,T150/T$12)</f>
        <v>9.8203464049586964E-2</v>
      </c>
      <c r="W150" s="5"/>
      <c r="X150" s="5">
        <f t="shared" ref="X150:X157" si="42">+P150-T150</f>
        <v>352437.14999999991</v>
      </c>
      <c r="Y150" s="5"/>
      <c r="Z150" s="13">
        <f t="shared" ref="Z150:Z157" si="43">IF(T150=0,0,X150/T150)</f>
        <v>0.33323349358781762</v>
      </c>
    </row>
    <row r="151" spans="1:26" s="70" customFormat="1" ht="15" hidden="1" customHeight="1" outlineLevel="1" x14ac:dyDescent="0.25">
      <c r="A151" s="42"/>
      <c r="B151" s="12" t="str">
        <f>CONCATENATE("          ","4187"," - ","NON-TAXABLE SALES-COMPUTER REP")</f>
        <v xml:space="preserve">          4187 - NON-TAXABLE SALES-COMPUTER REP</v>
      </c>
      <c r="C151" s="12"/>
      <c r="D151" s="3">
        <f>0</f>
        <v>0</v>
      </c>
      <c r="E151" s="3"/>
      <c r="F151" s="20">
        <f t="shared" si="36"/>
        <v>0</v>
      </c>
      <c r="G151" s="3"/>
      <c r="H151" s="3"/>
      <c r="I151" s="3"/>
      <c r="J151" s="20">
        <f t="shared" si="37"/>
        <v>0</v>
      </c>
      <c r="K151" s="3"/>
      <c r="L151" s="3">
        <f t="shared" si="38"/>
        <v>0</v>
      </c>
      <c r="M151" s="3"/>
      <c r="N151" s="20">
        <f t="shared" si="39"/>
        <v>0</v>
      </c>
      <c r="O151" s="12"/>
      <c r="P151" s="3">
        <f>0</f>
        <v>0</v>
      </c>
      <c r="Q151" s="3"/>
      <c r="R151" s="20">
        <f t="shared" si="40"/>
        <v>0</v>
      </c>
      <c r="S151" s="3"/>
      <c r="T151" s="3"/>
      <c r="U151" s="3"/>
      <c r="V151" s="20">
        <f t="shared" si="41"/>
        <v>0</v>
      </c>
      <c r="W151" s="3"/>
      <c r="X151" s="3">
        <f t="shared" si="42"/>
        <v>0</v>
      </c>
      <c r="Y151" s="3"/>
      <c r="Z151" s="20">
        <f t="shared" si="43"/>
        <v>0</v>
      </c>
    </row>
    <row r="152" spans="1:26" s="70" customFormat="1" ht="15" hidden="1" customHeight="1" outlineLevel="1" x14ac:dyDescent="0.25">
      <c r="A152" s="42"/>
      <c r="B152" s="12" t="str">
        <f>CONCATENATE("          ","9087"," - ","")</f>
        <v xml:space="preserve">          9087 - </v>
      </c>
      <c r="C152" s="12"/>
      <c r="D152" s="3">
        <f>-1290.36</f>
        <v>-1290.3599999999999</v>
      </c>
      <c r="E152" s="3"/>
      <c r="F152" s="20">
        <f t="shared" si="36"/>
        <v>-1.0148051080851668E-3</v>
      </c>
      <c r="G152" s="3"/>
      <c r="H152" s="3"/>
      <c r="I152" s="3"/>
      <c r="J152" s="20">
        <f t="shared" si="37"/>
        <v>0</v>
      </c>
      <c r="K152" s="3"/>
      <c r="L152" s="3">
        <f t="shared" si="38"/>
        <v>-1290.3599999999999</v>
      </c>
      <c r="M152" s="3"/>
      <c r="N152" s="20">
        <f t="shared" si="39"/>
        <v>0</v>
      </c>
      <c r="O152" s="12"/>
      <c r="P152" s="3">
        <f>--705.64</f>
        <v>705.64</v>
      </c>
      <c r="Q152" s="3"/>
      <c r="R152" s="20">
        <f t="shared" si="40"/>
        <v>7.0537787946385757E-5</v>
      </c>
      <c r="S152" s="3"/>
      <c r="T152" s="3"/>
      <c r="U152" s="3"/>
      <c r="V152" s="20">
        <f t="shared" si="41"/>
        <v>0</v>
      </c>
      <c r="W152" s="3"/>
      <c r="X152" s="3">
        <f t="shared" si="42"/>
        <v>705.64</v>
      </c>
      <c r="Y152" s="3"/>
      <c r="Z152" s="20">
        <f t="shared" si="43"/>
        <v>0</v>
      </c>
    </row>
    <row r="153" spans="1:26" s="70" customFormat="1" ht="15" hidden="1" customHeight="1" outlineLevel="1" x14ac:dyDescent="0.25">
      <c r="A153" s="42"/>
      <c r="B153" s="12" t="str">
        <f>CONCATENATE("          ","9150"," - ","MISC. INCOME")</f>
        <v xml:space="preserve">          9150 - MISC. INCOME</v>
      </c>
      <c r="C153" s="12"/>
      <c r="D153" s="3">
        <f>--53921.83</f>
        <v>53921.83</v>
      </c>
      <c r="E153" s="3"/>
      <c r="F153" s="20">
        <f t="shared" si="36"/>
        <v>4.2406885304333668E-2</v>
      </c>
      <c r="G153" s="3"/>
      <c r="H153" s="3">
        <v>10583</v>
      </c>
      <c r="I153" s="3"/>
      <c r="J153" s="20">
        <f t="shared" si="37"/>
        <v>1.377368877944788E-2</v>
      </c>
      <c r="K153" s="3"/>
      <c r="L153" s="3">
        <f t="shared" si="38"/>
        <v>43338.83</v>
      </c>
      <c r="M153" s="3"/>
      <c r="N153" s="20">
        <f t="shared" si="39"/>
        <v>4.0951365397335353</v>
      </c>
      <c r="O153" s="12"/>
      <c r="P153" s="3">
        <f>--438255.19</f>
        <v>438255.19</v>
      </c>
      <c r="Q153" s="3"/>
      <c r="R153" s="20">
        <f t="shared" si="40"/>
        <v>4.3809239355227882E-2</v>
      </c>
      <c r="S153" s="3"/>
      <c r="T153" s="3">
        <v>191100</v>
      </c>
      <c r="U153" s="3"/>
      <c r="V153" s="20">
        <f t="shared" si="41"/>
        <v>1.7744119764915949E-2</v>
      </c>
      <c r="W153" s="3"/>
      <c r="X153" s="3">
        <f t="shared" si="42"/>
        <v>247155.19</v>
      </c>
      <c r="Y153" s="3"/>
      <c r="Z153" s="20">
        <f t="shared" si="43"/>
        <v>1.2933290947148091</v>
      </c>
    </row>
    <row r="154" spans="1:26" s="70" customFormat="1" ht="15" hidden="1" customHeight="1" outlineLevel="1" x14ac:dyDescent="0.25">
      <c r="A154" s="42"/>
      <c r="B154" s="12" t="str">
        <f>CONCATENATE("          ","9151"," - ","MISC. INCOME")</f>
        <v xml:space="preserve">          9151 - MISC. INCOME</v>
      </c>
      <c r="C154" s="12"/>
      <c r="D154" s="3">
        <f>--626.04</f>
        <v>626.04</v>
      </c>
      <c r="E154" s="3"/>
      <c r="F154" s="20">
        <f t="shared" si="36"/>
        <v>4.9234987899937838E-4</v>
      </c>
      <c r="G154" s="3"/>
      <c r="H154" s="3">
        <v>293000</v>
      </c>
      <c r="I154" s="3"/>
      <c r="J154" s="20">
        <f t="shared" si="37"/>
        <v>0.38133712674839171</v>
      </c>
      <c r="K154" s="3"/>
      <c r="L154" s="3">
        <f t="shared" si="38"/>
        <v>-292373.96000000002</v>
      </c>
      <c r="M154" s="3"/>
      <c r="N154" s="20">
        <f t="shared" si="39"/>
        <v>-0.99786334470989768</v>
      </c>
      <c r="O154" s="12"/>
      <c r="P154" s="3">
        <f>--324387.74</f>
        <v>324387.74</v>
      </c>
      <c r="Q154" s="3"/>
      <c r="R154" s="20">
        <f t="shared" si="40"/>
        <v>3.2426724132032368E-2</v>
      </c>
      <c r="S154" s="3"/>
      <c r="T154" s="3">
        <v>749862.23</v>
      </c>
      <c r="U154" s="3"/>
      <c r="V154" s="20">
        <f t="shared" si="41"/>
        <v>6.9626610237085024E-2</v>
      </c>
      <c r="W154" s="3"/>
      <c r="X154" s="3">
        <f t="shared" si="42"/>
        <v>-425474.49</v>
      </c>
      <c r="Y154" s="3"/>
      <c r="Z154" s="20">
        <f t="shared" si="43"/>
        <v>-0.56740354824912309</v>
      </c>
    </row>
    <row r="155" spans="1:26" s="70" customFormat="1" ht="15" hidden="1" customHeight="1" outlineLevel="1" x14ac:dyDescent="0.25">
      <c r="A155" s="42"/>
      <c r="B155" s="12" t="str">
        <f>CONCATENATE("          ","9152"," - ","MISC. INCOME")</f>
        <v xml:space="preserve">          9152 - MISC. INCOME</v>
      </c>
      <c r="C155" s="12"/>
      <c r="D155" s="3">
        <f>--1358.68</f>
        <v>1358.68</v>
      </c>
      <c r="E155" s="3"/>
      <c r="F155" s="20">
        <f t="shared" si="36"/>
        <v>1.0685354507681225E-3</v>
      </c>
      <c r="G155" s="3"/>
      <c r="H155" s="3"/>
      <c r="I155" s="3"/>
      <c r="J155" s="20">
        <f t="shared" si="37"/>
        <v>0</v>
      </c>
      <c r="K155" s="3"/>
      <c r="L155" s="3">
        <f t="shared" si="38"/>
        <v>1358.68</v>
      </c>
      <c r="M155" s="3"/>
      <c r="N155" s="20">
        <f t="shared" si="39"/>
        <v>0</v>
      </c>
      <c r="O155" s="12"/>
      <c r="P155" s="3">
        <f>--5247.11</f>
        <v>5247.11</v>
      </c>
      <c r="Q155" s="3"/>
      <c r="R155" s="20">
        <f t="shared" si="40"/>
        <v>5.2451608824805875E-4</v>
      </c>
      <c r="S155" s="3"/>
      <c r="T155" s="3"/>
      <c r="U155" s="3"/>
      <c r="V155" s="20">
        <f t="shared" si="41"/>
        <v>0</v>
      </c>
      <c r="W155" s="3"/>
      <c r="X155" s="3">
        <f t="shared" si="42"/>
        <v>5247.11</v>
      </c>
      <c r="Y155" s="3"/>
      <c r="Z155" s="20">
        <f t="shared" si="43"/>
        <v>0</v>
      </c>
    </row>
    <row r="156" spans="1:26" s="70" customFormat="1" ht="15" hidden="1" customHeight="1" outlineLevel="1" x14ac:dyDescent="0.25">
      <c r="A156" s="42"/>
      <c r="B156" s="12" t="str">
        <f>CONCATENATE("          ","9160"," - ","MISC. INCOME")</f>
        <v xml:space="preserve">          9160 - MISC. INCOME</v>
      </c>
      <c r="C156" s="12"/>
      <c r="D156" s="3">
        <f>0</f>
        <v>0</v>
      </c>
      <c r="E156" s="3"/>
      <c r="F156" s="20">
        <f t="shared" si="36"/>
        <v>0</v>
      </c>
      <c r="G156" s="3"/>
      <c r="H156" s="3">
        <v>0</v>
      </c>
      <c r="I156" s="3"/>
      <c r="J156" s="20">
        <f t="shared" si="37"/>
        <v>0</v>
      </c>
      <c r="K156" s="3"/>
      <c r="L156" s="3">
        <f t="shared" si="38"/>
        <v>0</v>
      </c>
      <c r="M156" s="3"/>
      <c r="N156" s="20">
        <f t="shared" si="39"/>
        <v>0</v>
      </c>
      <c r="O156" s="12"/>
      <c r="P156" s="3">
        <f>0</f>
        <v>0</v>
      </c>
      <c r="Q156" s="3"/>
      <c r="R156" s="20">
        <f t="shared" si="40"/>
        <v>0</v>
      </c>
      <c r="S156" s="3"/>
      <c r="T156" s="3">
        <v>116666</v>
      </c>
      <c r="U156" s="3"/>
      <c r="V156" s="20">
        <f t="shared" si="41"/>
        <v>1.0832734047585996E-2</v>
      </c>
      <c r="W156" s="3"/>
      <c r="X156" s="3">
        <f t="shared" si="42"/>
        <v>-116666</v>
      </c>
      <c r="Y156" s="3"/>
      <c r="Z156" s="20">
        <f t="shared" si="43"/>
        <v>-1</v>
      </c>
    </row>
    <row r="157" spans="1:26" s="70" customFormat="1" ht="15" hidden="1" customHeight="1" outlineLevel="1" x14ac:dyDescent="0.25">
      <c r="A157" s="42"/>
      <c r="B157" s="12" t="str">
        <f>CONCATENATE("          ","9163"," - ","MISC. INCOME")</f>
        <v xml:space="preserve">          9163 - MISC. INCOME</v>
      </c>
      <c r="C157" s="12"/>
      <c r="D157" s="3">
        <f>--384650</f>
        <v>384650</v>
      </c>
      <c r="E157" s="3"/>
      <c r="F157" s="20">
        <f t="shared" si="36"/>
        <v>0.30250843549471423</v>
      </c>
      <c r="G157" s="3"/>
      <c r="H157" s="3"/>
      <c r="I157" s="3"/>
      <c r="J157" s="20">
        <f t="shared" si="37"/>
        <v>0</v>
      </c>
      <c r="K157" s="3"/>
      <c r="L157" s="3">
        <f t="shared" si="38"/>
        <v>384650</v>
      </c>
      <c r="M157" s="3"/>
      <c r="N157" s="20">
        <f t="shared" si="39"/>
        <v>0</v>
      </c>
      <c r="O157" s="12"/>
      <c r="P157" s="3">
        <f>--641469.7</f>
        <v>641469.69999999995</v>
      </c>
      <c r="Q157" s="3"/>
      <c r="R157" s="20">
        <f t="shared" si="40"/>
        <v>6.4123141648194104E-2</v>
      </c>
      <c r="S157" s="3"/>
      <c r="T157" s="3"/>
      <c r="U157" s="3"/>
      <c r="V157" s="20">
        <f t="shared" si="41"/>
        <v>0</v>
      </c>
      <c r="W157" s="3"/>
      <c r="X157" s="3">
        <f t="shared" si="42"/>
        <v>641469.69999999995</v>
      </c>
      <c r="Y157" s="3"/>
      <c r="Z157" s="20">
        <f t="shared" si="43"/>
        <v>0</v>
      </c>
    </row>
    <row r="158" spans="1:26" ht="15" customHeight="1" x14ac:dyDescent="0.25">
      <c r="A158" s="10"/>
      <c r="B158" s="11"/>
      <c r="C158" s="11"/>
      <c r="D158" s="4"/>
      <c r="E158" s="4"/>
      <c r="F158" s="9"/>
      <c r="G158" s="4"/>
      <c r="H158" s="4"/>
      <c r="I158" s="4"/>
      <c r="J158" s="9"/>
      <c r="K158" s="4"/>
      <c r="L158" s="4"/>
      <c r="M158" s="4"/>
      <c r="N158" s="9"/>
      <c r="O158" s="11"/>
      <c r="P158" s="4"/>
      <c r="Q158" s="4"/>
      <c r="R158" s="9"/>
      <c r="S158" s="4"/>
      <c r="T158" s="4"/>
      <c r="U158" s="4"/>
      <c r="V158" s="9"/>
      <c r="W158" s="4"/>
      <c r="X158" s="4"/>
      <c r="Y158" s="4"/>
      <c r="Z158" s="9"/>
    </row>
    <row r="159" spans="1:26" s="63" customFormat="1" ht="15" customHeight="1" x14ac:dyDescent="0.25">
      <c r="A159" s="11"/>
      <c r="B159" s="28" t="s">
        <v>292</v>
      </c>
      <c r="C159" s="28"/>
      <c r="D159" s="22">
        <f>+D56-D58+D150</f>
        <v>653085.66</v>
      </c>
      <c r="E159" s="15"/>
      <c r="F159" s="21">
        <f>IF(D$12=0,0,D159/D$12)</f>
        <v>0.51361996945439459</v>
      </c>
      <c r="G159" s="15"/>
      <c r="H159" s="22">
        <f>+H56-H58+H150</f>
        <v>245915.46549037495</v>
      </c>
      <c r="I159" s="15"/>
      <c r="J159" s="21">
        <f>IF(H$12=0,0,H159/H$12)</f>
        <v>0.32005698646106773</v>
      </c>
      <c r="K159" s="16"/>
      <c r="L159" s="22">
        <f>+D159-H159</f>
        <v>407170.19450962509</v>
      </c>
      <c r="M159" s="16"/>
      <c r="N159" s="21">
        <f>IF(H159=0,0,L159/H159)</f>
        <v>1.6557323619224005</v>
      </c>
      <c r="O159" s="27"/>
      <c r="P159" s="22">
        <f>+P56-P58+P150</f>
        <v>1521599.5199999986</v>
      </c>
      <c r="Q159" s="15"/>
      <c r="R159" s="21">
        <f>IF(P$12=0,0,P159/P$12)</f>
        <v>0.15210342990913533</v>
      </c>
      <c r="S159" s="15"/>
      <c r="T159" s="22">
        <f>+T56-T58+T150</f>
        <v>829077.06618765602</v>
      </c>
      <c r="U159" s="15"/>
      <c r="V159" s="21">
        <f>IF(T$12=0,0,T159/T$12)</f>
        <v>7.6981908722024664E-2</v>
      </c>
      <c r="W159" s="16"/>
      <c r="X159" s="22">
        <f>+P159-T159</f>
        <v>692522.4538123426</v>
      </c>
      <c r="Y159" s="16"/>
      <c r="Z159" s="21">
        <f>IF(T159=0,0,X159/T159)</f>
        <v>0.83529322189162425</v>
      </c>
    </row>
    <row r="160" spans="1:26" ht="15" customHeight="1" x14ac:dyDescent="0.25">
      <c r="A160" s="10"/>
      <c r="B160" s="11"/>
      <c r="C160" s="10"/>
      <c r="D160" s="4"/>
      <c r="E160" s="4"/>
      <c r="F160" s="9"/>
      <c r="G160" s="4"/>
      <c r="H160" s="4"/>
      <c r="I160" s="4"/>
      <c r="J160" s="9"/>
      <c r="K160" s="4"/>
      <c r="L160" s="4"/>
      <c r="M160" s="4"/>
      <c r="N160" s="9"/>
      <c r="P160" s="4"/>
      <c r="Q160" s="4"/>
      <c r="R160" s="9"/>
      <c r="S160" s="4"/>
      <c r="T160" s="4"/>
      <c r="U160" s="4"/>
      <c r="V160" s="9"/>
      <c r="W160" s="4"/>
      <c r="X160" s="4"/>
      <c r="Y160" s="4"/>
      <c r="Z160" s="9"/>
    </row>
    <row r="161" spans="1:26" s="63" customFormat="1" ht="15" customHeight="1" x14ac:dyDescent="0.25">
      <c r="A161" s="49"/>
      <c r="B161" s="11" t="s">
        <v>293</v>
      </c>
      <c r="C161" s="11"/>
      <c r="D161" s="5">
        <v>135455.96</v>
      </c>
      <c r="E161" s="5"/>
      <c r="F161" s="13">
        <f>IF(D$12=0,0,D161/D$12)</f>
        <v>0.10652949574427294</v>
      </c>
      <c r="G161" s="5"/>
      <c r="H161" s="5">
        <v>104726</v>
      </c>
      <c r="I161" s="5"/>
      <c r="J161" s="13">
        <f>IF(H$12=0,0,H161/H$12)</f>
        <v>0.13630004073669647</v>
      </c>
      <c r="K161" s="5"/>
      <c r="L161" s="5">
        <f>+D161-H161</f>
        <v>30729.959999999992</v>
      </c>
      <c r="M161" s="5"/>
      <c r="N161" s="13">
        <f>IF(H161=0,0,L161/H161)</f>
        <v>0.29343200351393151</v>
      </c>
      <c r="O161" s="11"/>
      <c r="P161" s="5">
        <v>1124671.32</v>
      </c>
      <c r="Q161" s="5"/>
      <c r="R161" s="13">
        <f>IF(P$12=0,0,P161/P$12)</f>
        <v>0.11242535440102853</v>
      </c>
      <c r="S161" s="5"/>
      <c r="T161" s="5">
        <v>1335047</v>
      </c>
      <c r="U161" s="5"/>
      <c r="V161" s="13">
        <f>IF(T$12=0,0,T161/T$12)</f>
        <v>0.12396250057452507</v>
      </c>
      <c r="W161" s="5"/>
      <c r="X161" s="5">
        <f>+P161-T161</f>
        <v>-210375.67999999993</v>
      </c>
      <c r="Y161" s="5"/>
      <c r="Z161" s="13">
        <f>IF(T161=0,0,X161/T161)</f>
        <v>-0.15757923129298065</v>
      </c>
    </row>
    <row r="162" spans="1:26" ht="15" customHeight="1" x14ac:dyDescent="0.25">
      <c r="A162" s="10"/>
      <c r="B162" s="11"/>
      <c r="C162" s="11"/>
      <c r="D162" s="4"/>
      <c r="E162" s="4"/>
      <c r="F162" s="9"/>
      <c r="G162" s="4"/>
      <c r="H162" s="4"/>
      <c r="I162" s="4"/>
      <c r="J162" s="9"/>
      <c r="K162" s="4"/>
      <c r="L162" s="4"/>
      <c r="M162" s="4"/>
      <c r="N162" s="9"/>
      <c r="O162" s="11"/>
      <c r="P162" s="4"/>
      <c r="Q162" s="4"/>
      <c r="R162" s="9"/>
      <c r="S162" s="4"/>
      <c r="T162" s="4"/>
      <c r="U162" s="4"/>
      <c r="V162" s="9"/>
      <c r="W162" s="4"/>
      <c r="X162" s="4"/>
      <c r="Y162" s="4"/>
      <c r="Z162" s="9"/>
    </row>
    <row r="163" spans="1:26" s="63" customFormat="1" ht="15" customHeight="1" x14ac:dyDescent="0.25">
      <c r="A163" s="11"/>
      <c r="B163" s="28" t="s">
        <v>294</v>
      </c>
      <c r="C163" s="28"/>
      <c r="D163" s="34">
        <f>+D159-D161</f>
        <v>517629.70000000007</v>
      </c>
      <c r="E163" s="15"/>
      <c r="F163" s="32">
        <f>IF(D$12=0,0,D163/D$12)</f>
        <v>0.40709047371012164</v>
      </c>
      <c r="G163" s="15"/>
      <c r="H163" s="34">
        <f>+H159-H161</f>
        <v>141189.46549037495</v>
      </c>
      <c r="I163" s="15"/>
      <c r="J163" s="32">
        <f>IF(H$12=0,0,H163/H$12)</f>
        <v>0.18375694572437129</v>
      </c>
      <c r="K163" s="16"/>
      <c r="L163" s="34">
        <f>D163-H163</f>
        <v>376440.23450962512</v>
      </c>
      <c r="M163" s="16"/>
      <c r="N163" s="32">
        <f>IF(H163=0,0,L163/H163)</f>
        <v>2.6662062442278138</v>
      </c>
      <c r="O163" s="27"/>
      <c r="P163" s="34">
        <f>+P159-P161</f>
        <v>396928.19999999856</v>
      </c>
      <c r="Q163" s="15"/>
      <c r="R163" s="32">
        <f>IF(P$12=0,0,P163/P$12)</f>
        <v>3.9678075508106821E-2</v>
      </c>
      <c r="S163" s="15"/>
      <c r="T163" s="34">
        <f>+T159-T161</f>
        <v>-505969.93381234398</v>
      </c>
      <c r="U163" s="15"/>
      <c r="V163" s="32">
        <f>IF(T$12=0,0,T163/T$12)</f>
        <v>-4.6980591852500399E-2</v>
      </c>
      <c r="W163" s="16"/>
      <c r="X163" s="34">
        <f>P163-T163</f>
        <v>902898.13381234254</v>
      </c>
      <c r="Y163" s="16"/>
      <c r="Z163" s="32">
        <f>IF(T163=0,0,X163/T163)</f>
        <v>-1.7844896968664798</v>
      </c>
    </row>
    <row r="164" spans="1:26" ht="15" customHeight="1" x14ac:dyDescent="0.25">
      <c r="A164" s="10"/>
      <c r="B164" s="10"/>
      <c r="C164" s="10"/>
      <c r="D164" s="4"/>
      <c r="E164" s="4"/>
      <c r="F164" s="9"/>
      <c r="G164" s="4"/>
      <c r="H164" s="4"/>
      <c r="I164" s="4"/>
      <c r="J164" s="9"/>
      <c r="K164" s="4"/>
      <c r="L164" s="4"/>
      <c r="M164" s="4"/>
      <c r="N164" s="9"/>
      <c r="P164" s="4"/>
      <c r="Q164" s="4"/>
      <c r="R164" s="9"/>
      <c r="S164" s="4"/>
      <c r="T164" s="4"/>
      <c r="U164" s="4"/>
      <c r="V164" s="9"/>
      <c r="W164" s="4"/>
      <c r="X164" s="4"/>
      <c r="Y164" s="4"/>
      <c r="Z164" s="9"/>
    </row>
    <row r="165" spans="1:26" ht="15" customHeight="1" x14ac:dyDescent="0.25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3" customFormat="1" ht="15" customHeight="1" x14ac:dyDescent="0.25">
      <c r="A166" s="11"/>
      <c r="B166" s="28" t="s">
        <v>297</v>
      </c>
      <c r="C166" s="28"/>
      <c r="D166" s="30">
        <f>SUM(D163:D165)</f>
        <v>517629.70000000007</v>
      </c>
      <c r="E166" s="15"/>
      <c r="F166" s="33">
        <f>IF(D$12=0,0,D166/D$12)</f>
        <v>0.40709047371012164</v>
      </c>
      <c r="G166" s="15"/>
      <c r="H166" s="30">
        <f>SUM(H163:H165)</f>
        <v>141189.46549037495</v>
      </c>
      <c r="I166" s="15"/>
      <c r="J166" s="33">
        <f>IF(H$12=0,0,H166/H$12)</f>
        <v>0.18375694572437129</v>
      </c>
      <c r="K166" s="16"/>
      <c r="L166" s="30">
        <f>+D166-H166</f>
        <v>376440.23450962512</v>
      </c>
      <c r="M166" s="16"/>
      <c r="N166" s="33">
        <f>IF(H166=0,0,L166/H166)</f>
        <v>2.6662062442278138</v>
      </c>
      <c r="O166" s="27"/>
      <c r="P166" s="30">
        <f>SUM(P163:P165)</f>
        <v>396928.19999999856</v>
      </c>
      <c r="Q166" s="15"/>
      <c r="R166" s="33">
        <f>IF(P$12=0,0,P166/P$12)</f>
        <v>3.9678075508106821E-2</v>
      </c>
      <c r="S166" s="15"/>
      <c r="T166" s="30">
        <f>SUM(T163:T165)</f>
        <v>-505969.93381234398</v>
      </c>
      <c r="U166" s="15"/>
      <c r="V166" s="33">
        <f>IF(T$12=0,0,T166/T$12)</f>
        <v>-4.6980591852500399E-2</v>
      </c>
      <c r="W166" s="16"/>
      <c r="X166" s="30">
        <f>+P166-T166</f>
        <v>902898.13381234254</v>
      </c>
      <c r="Y166" s="16"/>
      <c r="Z166" s="33">
        <f>IF(T166=0,0,X166/T166)</f>
        <v>-1.7844896968664798</v>
      </c>
    </row>
    <row r="167" spans="1:26" ht="15" customHeight="1" x14ac:dyDescent="0.25">
      <c r="A167" s="10"/>
      <c r="C167" s="10"/>
      <c r="D167" s="18"/>
      <c r="E167" s="18"/>
      <c r="G167" s="18"/>
      <c r="H167" s="18"/>
      <c r="I167" s="18"/>
      <c r="J167" s="40"/>
      <c r="K167" s="18"/>
      <c r="L167" s="18"/>
      <c r="M167" s="18"/>
      <c r="P167" s="18"/>
      <c r="Q167" s="18"/>
      <c r="R167" s="40"/>
      <c r="S167" s="18"/>
      <c r="T167" s="18"/>
      <c r="U167" s="18"/>
      <c r="V167" s="40"/>
      <c r="W167" s="18"/>
      <c r="X167" s="18"/>
    </row>
    <row r="168" spans="1:26" ht="15" customHeight="1" x14ac:dyDescent="0.25">
      <c r="A168" s="10"/>
      <c r="B168" s="54">
        <v>44727.874500810183</v>
      </c>
      <c r="D168" s="18"/>
      <c r="E168" s="18"/>
      <c r="G168" s="18"/>
      <c r="H168" s="18"/>
      <c r="I168" s="18"/>
      <c r="J168" s="40"/>
      <c r="K168" s="18"/>
      <c r="L168" s="18"/>
      <c r="M168" s="18"/>
      <c r="P168" s="18"/>
      <c r="Q168" s="18"/>
      <c r="R168" s="40"/>
      <c r="S168" s="18"/>
      <c r="T168" s="18"/>
      <c r="U168" s="18"/>
      <c r="V168" s="40"/>
      <c r="W168" s="18"/>
      <c r="X168" s="18"/>
    </row>
    <row r="169" spans="1:26" ht="15" customHeight="1" x14ac:dyDescent="0.25">
      <c r="A169" s="10"/>
      <c r="B169" s="50" t="s">
        <v>298</v>
      </c>
      <c r="D169" s="18"/>
      <c r="E169" s="18"/>
      <c r="G169" s="18"/>
      <c r="H169" s="18"/>
      <c r="I169" s="18"/>
      <c r="J169" s="40"/>
      <c r="K169" s="18"/>
      <c r="L169" s="18"/>
      <c r="M169" s="18"/>
      <c r="P169" s="18"/>
      <c r="Q169" s="18"/>
      <c r="R169" s="40"/>
      <c r="S169" s="18"/>
      <c r="T169" s="18"/>
      <c r="U169" s="18"/>
      <c r="V169" s="40"/>
      <c r="W169" s="18"/>
      <c r="X169" s="18"/>
    </row>
    <row r="170" spans="1:26" ht="15" customHeight="1" x14ac:dyDescent="0.25">
      <c r="A170" s="10"/>
      <c r="B170" s="58"/>
      <c r="D170" s="18"/>
      <c r="E170" s="18"/>
      <c r="G170" s="18"/>
      <c r="H170" s="18"/>
      <c r="I170" s="18"/>
      <c r="J170" s="40"/>
      <c r="K170" s="18"/>
      <c r="L170" s="18"/>
      <c r="M170" s="18"/>
      <c r="P170" s="18"/>
      <c r="Q170" s="18"/>
      <c r="R170" s="40"/>
      <c r="S170" s="18"/>
      <c r="T170" s="18"/>
      <c r="U170" s="18"/>
      <c r="V170" s="40"/>
      <c r="W170" s="18"/>
      <c r="X170" s="18"/>
    </row>
    <row r="171" spans="1:26" ht="15" customHeight="1" x14ac:dyDescent="0.25">
      <c r="D171" s="18"/>
      <c r="E171" s="18"/>
      <c r="G171" s="18"/>
      <c r="H171" s="18"/>
      <c r="I171" s="18"/>
      <c r="J171" s="40"/>
      <c r="K171" s="18"/>
      <c r="L171" s="18"/>
      <c r="M171" s="18"/>
      <c r="P171" s="18"/>
      <c r="Q171" s="18"/>
      <c r="R171" s="40"/>
      <c r="S171" s="18"/>
      <c r="T171" s="18"/>
      <c r="U171" s="18"/>
      <c r="V171" s="40"/>
      <c r="W171" s="18"/>
      <c r="X17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D8E05-0428-636E-1D85-6626C691701D}">
  <sheetPr>
    <tabColor rgb="FF92D05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","301"," - ","Bookstore Operations")</f>
        <v>Department 301 - Bookstore Operations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collapsed="1" x14ac:dyDescent="0.25">
      <c r="A14" s="11"/>
      <c r="B14" s="27" t="s">
        <v>288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70" customFormat="1" ht="15" hidden="1" customHeight="1" outlineLevel="1" x14ac:dyDescent="0.25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25">
      <c r="A17" s="11"/>
      <c r="B17" s="28" t="s">
        <v>289</v>
      </c>
      <c r="C17" s="28"/>
      <c r="D17" s="22">
        <f>D12-D14</f>
        <v>0</v>
      </c>
      <c r="E17" s="15"/>
      <c r="F17" s="21">
        <f>IF(D$12=0,0,D17/D$12)</f>
        <v>0</v>
      </c>
      <c r="G17" s="15"/>
      <c r="H17" s="22">
        <f>H12-H14</f>
        <v>0</v>
      </c>
      <c r="I17" s="15"/>
      <c r="J17" s="21">
        <f>IF(H$12=0,0,H17/H$12)</f>
        <v>0</v>
      </c>
      <c r="K17" s="16"/>
      <c r="L17" s="22">
        <f>+D17-H17</f>
        <v>0</v>
      </c>
      <c r="M17" s="16"/>
      <c r="N17" s="21">
        <f>IF(H17=0,0,L17/H17)</f>
        <v>0</v>
      </c>
      <c r="O17" s="27"/>
      <c r="P17" s="22">
        <f>P12-P14</f>
        <v>0</v>
      </c>
      <c r="Q17" s="15"/>
      <c r="R17" s="21">
        <f>IF(P$12=0,0,P17/P$12)</f>
        <v>0</v>
      </c>
      <c r="S17" s="15"/>
      <c r="T17" s="22">
        <f>T12-T14</f>
        <v>0</v>
      </c>
      <c r="U17" s="15"/>
      <c r="V17" s="21">
        <f>IF(T$12=0,0,T17/T$12)</f>
        <v>0</v>
      </c>
      <c r="W17" s="16"/>
      <c r="X17" s="22">
        <f>+P17-T17</f>
        <v>0</v>
      </c>
      <c r="Y17" s="16"/>
      <c r="Z17" s="21">
        <f>IF(T17=0,0,X17/T17)</f>
        <v>0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25">
      <c r="A19" s="11"/>
      <c r="B19" s="27" t="s">
        <v>290</v>
      </c>
      <c r="C19" s="11"/>
      <c r="D19" s="23" cm="1">
        <f t="array" ref="D19">SUM(OSRRefD22x_0)</f>
        <v>144580.89000000004</v>
      </c>
      <c r="E19" s="23"/>
      <c r="F19" s="31">
        <f t="shared" ref="F19:F50" si="0">IF(D$12=0,0,D19/D$12)</f>
        <v>0</v>
      </c>
      <c r="G19" s="23"/>
      <c r="H19" s="23" cm="1">
        <f t="array" ref="H19">SUM(OSRRefH22x_0)</f>
        <v>96174.098725757678</v>
      </c>
      <c r="I19" s="23"/>
      <c r="J19" s="31">
        <f t="shared" ref="J19:J50" si="1">IF(H$12=0,0,H19/H$12)</f>
        <v>0</v>
      </c>
      <c r="K19" s="5"/>
      <c r="L19" s="23">
        <f t="shared" ref="L19:L50" si="2">+D19-H19</f>
        <v>48406.791274242365</v>
      </c>
      <c r="M19" s="5"/>
      <c r="N19" s="31">
        <f t="shared" ref="N19:N50" si="3">IF(H19=0,0,L19/H19)</f>
        <v>0.50332461562520359</v>
      </c>
      <c r="O19" s="11"/>
      <c r="P19" s="23" cm="1">
        <f t="array" ref="P19">SUM(OSRRefP22x_0)</f>
        <v>1564104.4000000001</v>
      </c>
      <c r="Q19" s="23"/>
      <c r="R19" s="31">
        <f t="shared" ref="R19:R50" si="4">IF(P$12=0,0,P19/P$12)</f>
        <v>0</v>
      </c>
      <c r="S19" s="23"/>
      <c r="T19" s="23" cm="1">
        <f t="array" ref="T19">SUM(OSRRefT22x_0)</f>
        <v>1414061.7584810425</v>
      </c>
      <c r="U19" s="23"/>
      <c r="V19" s="31">
        <f t="shared" ref="V19:V50" si="5">IF(T$12=0,0,T19/T$12)</f>
        <v>0</v>
      </c>
      <c r="W19" s="5"/>
      <c r="X19" s="23">
        <f t="shared" ref="X19:X50" si="6">+P19-T19</f>
        <v>150042.64151895768</v>
      </c>
      <c r="Y19" s="5"/>
      <c r="Z19" s="31">
        <f t="shared" ref="Z19:Z50" si="7">IF(T19=0,0,X19/T19)</f>
        <v>0.10610755903626908</v>
      </c>
    </row>
    <row r="20" spans="1:26" s="69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14064.909999999998</v>
      </c>
      <c r="E20" s="2"/>
      <c r="F20" s="6">
        <f t="shared" si="0"/>
        <v>0</v>
      </c>
      <c r="G20" s="2"/>
      <c r="H20" s="2">
        <f>SUM(OSRRefH22_0x_0)</f>
        <v>4556.9109084499969</v>
      </c>
      <c r="I20" s="2"/>
      <c r="J20" s="6">
        <f t="shared" si="1"/>
        <v>0</v>
      </c>
      <c r="K20" s="2"/>
      <c r="L20" s="2">
        <f t="shared" si="2"/>
        <v>9507.999091550002</v>
      </c>
      <c r="M20" s="2"/>
      <c r="N20" s="6">
        <f t="shared" si="3"/>
        <v>2.0865009833567463</v>
      </c>
      <c r="O20" s="14"/>
      <c r="P20" s="2">
        <f>SUM(OSRRefP22_0x_0)</f>
        <v>159249.60000000001</v>
      </c>
      <c r="Q20" s="2"/>
      <c r="R20" s="6">
        <f t="shared" si="4"/>
        <v>0</v>
      </c>
      <c r="S20" s="2"/>
      <c r="T20" s="2">
        <f>SUM(OSRRefT22_0x_0)</f>
        <v>63100.648998350036</v>
      </c>
      <c r="U20" s="2"/>
      <c r="V20" s="6">
        <f t="shared" si="5"/>
        <v>0</v>
      </c>
      <c r="W20" s="2"/>
      <c r="X20" s="2">
        <f t="shared" si="6"/>
        <v>96148.95100164997</v>
      </c>
      <c r="Y20" s="2"/>
      <c r="Z20" s="6">
        <f t="shared" si="7"/>
        <v>1.5237394944093854</v>
      </c>
    </row>
    <row r="21" spans="1:26" s="70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8">
        <v>2725.38</v>
      </c>
      <c r="E21" s="3"/>
      <c r="F21" s="7">
        <f t="shared" si="0"/>
        <v>0</v>
      </c>
      <c r="G21" s="3"/>
      <c r="H21" s="8">
        <v>1000.74701750769</v>
      </c>
      <c r="I21" s="3"/>
      <c r="J21" s="7">
        <f t="shared" si="1"/>
        <v>0</v>
      </c>
      <c r="K21" s="3"/>
      <c r="L21" s="8">
        <f t="shared" si="2"/>
        <v>1724.63298249231</v>
      </c>
      <c r="M21" s="3"/>
      <c r="N21" s="7">
        <f t="shared" si="3"/>
        <v>1.7233456131474882</v>
      </c>
      <c r="O21" s="12"/>
      <c r="P21" s="8">
        <v>28713.81</v>
      </c>
      <c r="Q21" s="3"/>
      <c r="R21" s="7">
        <f t="shared" si="4"/>
        <v>0</v>
      </c>
      <c r="S21" s="3"/>
      <c r="T21" s="8">
        <v>16416.123340292299</v>
      </c>
      <c r="U21" s="3"/>
      <c r="V21" s="7">
        <f t="shared" si="5"/>
        <v>0</v>
      </c>
      <c r="W21" s="3"/>
      <c r="X21" s="8">
        <f t="shared" si="6"/>
        <v>12297.686659707702</v>
      </c>
      <c r="Y21" s="3"/>
      <c r="Z21" s="7">
        <f t="shared" si="7"/>
        <v>0.74912245752466033</v>
      </c>
    </row>
    <row r="22" spans="1:26" s="70" customFormat="1" ht="15" hidden="1" customHeight="1" outlineLevel="2" x14ac:dyDescent="0.25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1059.0999999999999</v>
      </c>
      <c r="E22" s="3"/>
      <c r="F22" s="7">
        <f t="shared" si="0"/>
        <v>0</v>
      </c>
      <c r="G22" s="3"/>
      <c r="H22" s="8">
        <v>559.94663100000002</v>
      </c>
      <c r="I22" s="3"/>
      <c r="J22" s="7">
        <f t="shared" si="1"/>
        <v>0</v>
      </c>
      <c r="K22" s="3"/>
      <c r="L22" s="8">
        <f t="shared" si="2"/>
        <v>499.15336899999988</v>
      </c>
      <c r="M22" s="3"/>
      <c r="N22" s="7">
        <f t="shared" si="3"/>
        <v>0.8914302566810155</v>
      </c>
      <c r="O22" s="12"/>
      <c r="P22" s="8">
        <v>8670.43</v>
      </c>
      <c r="Q22" s="3"/>
      <c r="R22" s="7">
        <f t="shared" si="4"/>
        <v>0</v>
      </c>
      <c r="S22" s="3"/>
      <c r="T22" s="8">
        <v>8256.9763409999996</v>
      </c>
      <c r="U22" s="3"/>
      <c r="V22" s="7">
        <f t="shared" si="5"/>
        <v>0</v>
      </c>
      <c r="W22" s="3"/>
      <c r="X22" s="8">
        <f t="shared" si="6"/>
        <v>413.4536590000007</v>
      </c>
      <c r="Y22" s="3"/>
      <c r="Z22" s="7">
        <f t="shared" si="7"/>
        <v>5.0073252232417986E-2</v>
      </c>
    </row>
    <row r="23" spans="1:26" s="70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8">
        <v>4880.57</v>
      </c>
      <c r="E23" s="3"/>
      <c r="F23" s="7">
        <f t="shared" si="0"/>
        <v>0</v>
      </c>
      <c r="G23" s="3"/>
      <c r="H23" s="8">
        <v>1303</v>
      </c>
      <c r="I23" s="3"/>
      <c r="J23" s="7">
        <f t="shared" si="1"/>
        <v>0</v>
      </c>
      <c r="K23" s="3"/>
      <c r="L23" s="8">
        <f t="shared" si="2"/>
        <v>3577.5699999999997</v>
      </c>
      <c r="M23" s="3"/>
      <c r="N23" s="7">
        <f t="shared" si="3"/>
        <v>2.7456408288564846</v>
      </c>
      <c r="O23" s="12"/>
      <c r="P23" s="8">
        <v>56803.93</v>
      </c>
      <c r="Q23" s="3"/>
      <c r="R23" s="7">
        <f t="shared" si="4"/>
        <v>0</v>
      </c>
      <c r="S23" s="3"/>
      <c r="T23" s="8">
        <v>14945</v>
      </c>
      <c r="U23" s="3"/>
      <c r="V23" s="7">
        <f t="shared" si="5"/>
        <v>0</v>
      </c>
      <c r="W23" s="3"/>
      <c r="X23" s="8">
        <f t="shared" si="6"/>
        <v>41858.93</v>
      </c>
      <c r="Y23" s="3"/>
      <c r="Z23" s="7">
        <f t="shared" si="7"/>
        <v>2.8008651722984275</v>
      </c>
    </row>
    <row r="24" spans="1:26" s="70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188.95</v>
      </c>
      <c r="E24" s="3"/>
      <c r="F24" s="7">
        <f t="shared" si="0"/>
        <v>0</v>
      </c>
      <c r="G24" s="3"/>
      <c r="H24" s="8">
        <v>75.377431096153799</v>
      </c>
      <c r="I24" s="3"/>
      <c r="J24" s="7">
        <f t="shared" si="1"/>
        <v>0</v>
      </c>
      <c r="K24" s="3"/>
      <c r="L24" s="8">
        <f t="shared" si="2"/>
        <v>113.57256890384619</v>
      </c>
      <c r="M24" s="3"/>
      <c r="N24" s="7">
        <f t="shared" si="3"/>
        <v>1.5067184865847907</v>
      </c>
      <c r="O24" s="12"/>
      <c r="P24" s="8">
        <v>1547.54</v>
      </c>
      <c r="Q24" s="3"/>
      <c r="R24" s="7">
        <f t="shared" si="4"/>
        <v>0</v>
      </c>
      <c r="S24" s="3"/>
      <c r="T24" s="8">
        <v>1111.51604590385</v>
      </c>
      <c r="U24" s="3"/>
      <c r="V24" s="7">
        <f t="shared" si="5"/>
        <v>0</v>
      </c>
      <c r="W24" s="3"/>
      <c r="X24" s="8">
        <f t="shared" si="6"/>
        <v>436.02395409614996</v>
      </c>
      <c r="Y24" s="3"/>
      <c r="Z24" s="7">
        <f t="shared" si="7"/>
        <v>0.39227859615970634</v>
      </c>
    </row>
    <row r="25" spans="1:26" s="70" customFormat="1" ht="15" hidden="1" customHeight="1" outlineLevel="2" x14ac:dyDescent="0.25">
      <c r="A25" s="25"/>
      <c r="B25" s="12" t="str">
        <f>CONCATENATE("          ","6115"," - ","P.E.R.S.")</f>
        <v xml:space="preserve">          6115 - P.E.R.S.</v>
      </c>
      <c r="C25" s="12"/>
      <c r="D25" s="8">
        <v>1409.47</v>
      </c>
      <c r="E25" s="3"/>
      <c r="F25" s="7">
        <f t="shared" si="0"/>
        <v>0</v>
      </c>
      <c r="G25" s="3"/>
      <c r="H25" s="8">
        <v>374.76153846153801</v>
      </c>
      <c r="I25" s="3"/>
      <c r="J25" s="7">
        <f t="shared" si="1"/>
        <v>0</v>
      </c>
      <c r="K25" s="3"/>
      <c r="L25" s="8">
        <f t="shared" si="2"/>
        <v>1034.708461538462</v>
      </c>
      <c r="M25" s="3"/>
      <c r="N25" s="7">
        <f t="shared" si="3"/>
        <v>2.7609782631006428</v>
      </c>
      <c r="O25" s="12"/>
      <c r="P25" s="8">
        <v>18395.11</v>
      </c>
      <c r="Q25" s="3"/>
      <c r="R25" s="7">
        <f t="shared" si="4"/>
        <v>0</v>
      </c>
      <c r="S25" s="3"/>
      <c r="T25" s="8">
        <v>4497.1384615384604</v>
      </c>
      <c r="U25" s="3"/>
      <c r="V25" s="7">
        <f t="shared" si="5"/>
        <v>0</v>
      </c>
      <c r="W25" s="3"/>
      <c r="X25" s="8">
        <f t="shared" si="6"/>
        <v>13897.971538461541</v>
      </c>
      <c r="Y25" s="3"/>
      <c r="Z25" s="7">
        <f t="shared" si="7"/>
        <v>3.0904032991919661</v>
      </c>
    </row>
    <row r="26" spans="1:26" s="70" customFormat="1" ht="15" hidden="1" customHeight="1" outlineLevel="2" x14ac:dyDescent="0.25">
      <c r="A26" s="25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","6117"," - ","RETIREMENT STAFF HOURLY")</f>
        <v xml:space="preserve">          6117 - RETIREMENT STAFF HOURLY</v>
      </c>
      <c r="C27" s="12"/>
      <c r="D27" s="8">
        <v>499.96</v>
      </c>
      <c r="E27" s="3"/>
      <c r="F27" s="7">
        <f t="shared" si="0"/>
        <v>0</v>
      </c>
      <c r="G27" s="3"/>
      <c r="H27" s="8"/>
      <c r="I27" s="3"/>
      <c r="J27" s="7">
        <f t="shared" si="1"/>
        <v>0</v>
      </c>
      <c r="K27" s="3"/>
      <c r="L27" s="8">
        <f t="shared" si="2"/>
        <v>499.96</v>
      </c>
      <c r="M27" s="3"/>
      <c r="N27" s="7">
        <f t="shared" si="3"/>
        <v>0</v>
      </c>
      <c r="O27" s="12"/>
      <c r="P27" s="8">
        <v>4159.82</v>
      </c>
      <c r="Q27" s="3"/>
      <c r="R27" s="7">
        <f t="shared" si="4"/>
        <v>0</v>
      </c>
      <c r="S27" s="3"/>
      <c r="T27" s="8"/>
      <c r="U27" s="3"/>
      <c r="V27" s="7">
        <f t="shared" si="5"/>
        <v>0</v>
      </c>
      <c r="W27" s="3"/>
      <c r="X27" s="8">
        <f t="shared" si="6"/>
        <v>4159.82</v>
      </c>
      <c r="Y27" s="3"/>
      <c r="Z27" s="7">
        <f t="shared" si="7"/>
        <v>0</v>
      </c>
    </row>
    <row r="28" spans="1:26" s="70" customFormat="1" ht="15" hidden="1" customHeight="1" outlineLevel="2" x14ac:dyDescent="0.25">
      <c r="A28" s="25"/>
      <c r="B28" s="12" t="str">
        <f>CONCATENATE("          ","6118"," - ","VACATION")</f>
        <v xml:space="preserve">          6118 - VACATION</v>
      </c>
      <c r="C28" s="12"/>
      <c r="D28" s="8">
        <v>1424.14</v>
      </c>
      <c r="E28" s="3"/>
      <c r="F28" s="7">
        <f t="shared" si="0"/>
        <v>0</v>
      </c>
      <c r="G28" s="3"/>
      <c r="H28" s="8">
        <v>249.386769230769</v>
      </c>
      <c r="I28" s="3"/>
      <c r="J28" s="7">
        <f t="shared" si="1"/>
        <v>0</v>
      </c>
      <c r="K28" s="3"/>
      <c r="L28" s="8">
        <f t="shared" si="2"/>
        <v>1174.7532307692311</v>
      </c>
      <c r="M28" s="3"/>
      <c r="N28" s="7">
        <f t="shared" si="3"/>
        <v>4.7105675830066911</v>
      </c>
      <c r="O28" s="12"/>
      <c r="P28" s="8">
        <v>17776.78</v>
      </c>
      <c r="Q28" s="3"/>
      <c r="R28" s="7">
        <f t="shared" si="4"/>
        <v>0</v>
      </c>
      <c r="S28" s="3"/>
      <c r="T28" s="8">
        <v>2992.6412307692299</v>
      </c>
      <c r="U28" s="3"/>
      <c r="V28" s="7">
        <f t="shared" si="5"/>
        <v>0</v>
      </c>
      <c r="W28" s="3"/>
      <c r="X28" s="8">
        <f t="shared" si="6"/>
        <v>14784.138769230769</v>
      </c>
      <c r="Y28" s="3"/>
      <c r="Z28" s="7">
        <f t="shared" si="7"/>
        <v>4.9401640989323159</v>
      </c>
    </row>
    <row r="29" spans="1:26" s="70" customFormat="1" ht="15" hidden="1" customHeight="1" outlineLevel="2" x14ac:dyDescent="0.25">
      <c r="A29" s="25"/>
      <c r="B29" s="12" t="str">
        <f>CONCATENATE("          ","6119"," - ","SICK LEAVE")</f>
        <v xml:space="preserve">          6119 - SICK LEAVE</v>
      </c>
      <c r="C29" s="12"/>
      <c r="D29" s="8">
        <v>1093.08</v>
      </c>
      <c r="E29" s="3"/>
      <c r="F29" s="7">
        <f t="shared" si="0"/>
        <v>0</v>
      </c>
      <c r="G29" s="3"/>
      <c r="H29" s="8">
        <v>993.691521153846</v>
      </c>
      <c r="I29" s="3"/>
      <c r="J29" s="7">
        <f t="shared" si="1"/>
        <v>0</v>
      </c>
      <c r="K29" s="3"/>
      <c r="L29" s="8">
        <f t="shared" si="2"/>
        <v>99.38847884615393</v>
      </c>
      <c r="M29" s="3"/>
      <c r="N29" s="7">
        <f t="shared" si="3"/>
        <v>0.10001944942706856</v>
      </c>
      <c r="O29" s="12"/>
      <c r="P29" s="8">
        <v>15367.21</v>
      </c>
      <c r="Q29" s="3"/>
      <c r="R29" s="7">
        <f t="shared" si="4"/>
        <v>0</v>
      </c>
      <c r="S29" s="3"/>
      <c r="T29" s="8">
        <v>14881.253578846199</v>
      </c>
      <c r="U29" s="3"/>
      <c r="V29" s="7">
        <f t="shared" si="5"/>
        <v>0</v>
      </c>
      <c r="W29" s="3"/>
      <c r="X29" s="8">
        <f t="shared" si="6"/>
        <v>485.95642115379997</v>
      </c>
      <c r="Y29" s="3"/>
      <c r="Z29" s="7">
        <f t="shared" si="7"/>
        <v>3.2655610535700451E-2</v>
      </c>
    </row>
    <row r="30" spans="1:26" s="70" customFormat="1" ht="15" hidden="1" customHeight="1" outlineLevel="2" x14ac:dyDescent="0.25">
      <c r="A30" s="25"/>
      <c r="B30" s="12" t="str">
        <f>CONCATENATE("          ","6156"," - ","EMPLOYEE MEALS")</f>
        <v xml:space="preserve">          6156 - EMPLOYEE MEALS</v>
      </c>
      <c r="C30" s="12"/>
      <c r="D30" s="8">
        <v>784.26</v>
      </c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784.26</v>
      </c>
      <c r="M30" s="3"/>
      <c r="N30" s="7">
        <f t="shared" si="3"/>
        <v>0</v>
      </c>
      <c r="O30" s="12"/>
      <c r="P30" s="8">
        <v>7814.97</v>
      </c>
      <c r="Q30" s="3"/>
      <c r="R30" s="7">
        <f t="shared" si="4"/>
        <v>0</v>
      </c>
      <c r="S30" s="3"/>
      <c r="T30" s="8"/>
      <c r="U30" s="3"/>
      <c r="V30" s="7">
        <f t="shared" si="5"/>
        <v>0</v>
      </c>
      <c r="W30" s="3"/>
      <c r="X30" s="8">
        <f t="shared" si="6"/>
        <v>7814.97</v>
      </c>
      <c r="Y30" s="3"/>
      <c r="Z30" s="7">
        <f t="shared" si="7"/>
        <v>0</v>
      </c>
    </row>
    <row r="31" spans="1:26" s="69" customFormat="1" ht="15" customHeight="1" outlineLevel="1" collapsed="1" x14ac:dyDescent="0.25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46170.02</v>
      </c>
      <c r="E31" s="2"/>
      <c r="F31" s="6">
        <f t="shared" si="0"/>
        <v>0</v>
      </c>
      <c r="G31" s="2"/>
      <c r="H31" s="2">
        <f>SUM(OSRRefH22_1x_0)</f>
        <v>35603.187817307691</v>
      </c>
      <c r="I31" s="2"/>
      <c r="J31" s="6">
        <f t="shared" si="1"/>
        <v>0</v>
      </c>
      <c r="K31" s="2"/>
      <c r="L31" s="2">
        <f t="shared" si="2"/>
        <v>10566.832182692306</v>
      </c>
      <c r="M31" s="2"/>
      <c r="N31" s="6">
        <f t="shared" si="3"/>
        <v>0.29679455213152228</v>
      </c>
      <c r="O31" s="14"/>
      <c r="P31" s="2">
        <f>SUM(OSRRefP22_1x_0)</f>
        <v>585560.05000000005</v>
      </c>
      <c r="Q31" s="2"/>
      <c r="R31" s="6">
        <f t="shared" si="4"/>
        <v>0</v>
      </c>
      <c r="S31" s="2"/>
      <c r="T31" s="2">
        <f>SUM(OSRRefT22_1x_0)</f>
        <v>526870.10948269232</v>
      </c>
      <c r="U31" s="2"/>
      <c r="V31" s="6">
        <f t="shared" si="5"/>
        <v>0</v>
      </c>
      <c r="W31" s="2"/>
      <c r="X31" s="2">
        <f t="shared" si="6"/>
        <v>58689.940517307725</v>
      </c>
      <c r="Y31" s="2"/>
      <c r="Z31" s="6">
        <f t="shared" si="7"/>
        <v>0.11139356638571217</v>
      </c>
    </row>
    <row r="32" spans="1:26" s="70" customFormat="1" ht="15" hidden="1" customHeight="1" outlineLevel="2" x14ac:dyDescent="0.25">
      <c r="A32" s="25"/>
      <c r="B32" s="12" t="str">
        <f>CONCATENATE("          ","6001"," - ","ADMINISTRATIVE SALARIES")</f>
        <v xml:space="preserve">          6001 - ADMINISTRATIVE SALARIES</v>
      </c>
      <c r="C32" s="12"/>
      <c r="D32" s="8">
        <v>3726.6</v>
      </c>
      <c r="E32" s="3"/>
      <c r="F32" s="7">
        <f t="shared" si="0"/>
        <v>0</v>
      </c>
      <c r="G32" s="3"/>
      <c r="H32" s="8">
        <v>4139.8076923076896</v>
      </c>
      <c r="I32" s="3"/>
      <c r="J32" s="7">
        <f t="shared" si="1"/>
        <v>0</v>
      </c>
      <c r="K32" s="3"/>
      <c r="L32" s="8">
        <f t="shared" si="2"/>
        <v>-413.20769230768974</v>
      </c>
      <c r="M32" s="3"/>
      <c r="N32" s="7">
        <f t="shared" si="3"/>
        <v>-9.9813257769312394E-2</v>
      </c>
      <c r="O32" s="12"/>
      <c r="P32" s="8">
        <v>51393.13</v>
      </c>
      <c r="Q32" s="3"/>
      <c r="R32" s="7">
        <f t="shared" si="4"/>
        <v>0</v>
      </c>
      <c r="S32" s="3"/>
      <c r="T32" s="8">
        <v>49677.692307692298</v>
      </c>
      <c r="U32" s="3"/>
      <c r="V32" s="7">
        <f t="shared" si="5"/>
        <v>0</v>
      </c>
      <c r="W32" s="3"/>
      <c r="X32" s="8">
        <f t="shared" si="6"/>
        <v>1715.4376923076998</v>
      </c>
      <c r="Y32" s="3"/>
      <c r="Z32" s="7">
        <f t="shared" si="7"/>
        <v>3.4531348229355538E-2</v>
      </c>
    </row>
    <row r="33" spans="1:26" s="70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8">
        <v>10120.02</v>
      </c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10120.02</v>
      </c>
      <c r="M33" s="3"/>
      <c r="N33" s="7">
        <f t="shared" si="3"/>
        <v>0</v>
      </c>
      <c r="O33" s="12"/>
      <c r="P33" s="8">
        <v>123336.55</v>
      </c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123336.55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","6004"," - ","STAFF HOURLY")</f>
        <v xml:space="preserve">          6004 - STAFF HOURLY</v>
      </c>
      <c r="C35" s="12"/>
      <c r="D35" s="8">
        <v>7461.97</v>
      </c>
      <c r="E35" s="3"/>
      <c r="F35" s="7">
        <f t="shared" si="0"/>
        <v>0</v>
      </c>
      <c r="G35" s="3"/>
      <c r="H35" s="8">
        <v>8417.7227999999996</v>
      </c>
      <c r="I35" s="3"/>
      <c r="J35" s="7">
        <f t="shared" si="1"/>
        <v>0</v>
      </c>
      <c r="K35" s="3"/>
      <c r="L35" s="8">
        <f t="shared" si="2"/>
        <v>-955.7527999999993</v>
      </c>
      <c r="M35" s="3"/>
      <c r="N35" s="7">
        <f t="shared" si="3"/>
        <v>-0.11354054091683791</v>
      </c>
      <c r="O35" s="12"/>
      <c r="P35" s="8">
        <v>85675.1</v>
      </c>
      <c r="Q35" s="3"/>
      <c r="R35" s="7">
        <f t="shared" si="4"/>
        <v>0</v>
      </c>
      <c r="S35" s="3"/>
      <c r="T35" s="8">
        <v>99047.7834</v>
      </c>
      <c r="U35" s="3"/>
      <c r="V35" s="7">
        <f t="shared" si="5"/>
        <v>0</v>
      </c>
      <c r="W35" s="3"/>
      <c r="X35" s="8">
        <f t="shared" si="6"/>
        <v>-13372.683399999994</v>
      </c>
      <c r="Y35" s="3"/>
      <c r="Z35" s="7">
        <f t="shared" si="7"/>
        <v>-0.13501244491252284</v>
      </c>
    </row>
    <row r="36" spans="1:26" s="70" customFormat="1" ht="15" hidden="1" customHeight="1" outlineLevel="2" x14ac:dyDescent="0.25">
      <c r="A36" s="25"/>
      <c r="B36" s="12" t="str">
        <f>CONCATENATE("          ","6005"," - ","TEMPORARY WAGES-HOURLY")</f>
        <v xml:space="preserve">          6005 - TEMPORARY WAGES-HOURLY</v>
      </c>
      <c r="C36" s="12"/>
      <c r="D36" s="8">
        <v>2184.14</v>
      </c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2184.14</v>
      </c>
      <c r="M36" s="3"/>
      <c r="N36" s="7">
        <f t="shared" si="3"/>
        <v>0</v>
      </c>
      <c r="O36" s="12"/>
      <c r="P36" s="8">
        <v>30055.78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30055.78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","6006"," - ","TEMPORARY PART TIME")</f>
        <v xml:space="preserve">          6006 - TEMPORARY PART TIME</v>
      </c>
      <c r="C37" s="12"/>
      <c r="D37" s="8">
        <v>1520.8</v>
      </c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1520.8</v>
      </c>
      <c r="M37" s="3"/>
      <c r="N37" s="7">
        <f t="shared" si="3"/>
        <v>0</v>
      </c>
      <c r="O37" s="12"/>
      <c r="P37" s="8">
        <v>19354.939999999999</v>
      </c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19354.939999999999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","6007"," - ","STUDENT HOURLY")</f>
        <v xml:space="preserve">          6007 - STUDENT HOURLY</v>
      </c>
      <c r="C38" s="12"/>
      <c r="D38" s="8">
        <v>20270.89</v>
      </c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20270.89</v>
      </c>
      <c r="M38" s="3"/>
      <c r="N38" s="7">
        <f t="shared" si="3"/>
        <v>0</v>
      </c>
      <c r="O38" s="12"/>
      <c r="P38" s="8">
        <v>258454.12</v>
      </c>
      <c r="Q38" s="3"/>
      <c r="R38" s="7">
        <f t="shared" si="4"/>
        <v>0</v>
      </c>
      <c r="S38" s="3"/>
      <c r="T38" s="8">
        <v>60209.13</v>
      </c>
      <c r="U38" s="3"/>
      <c r="V38" s="7">
        <f t="shared" si="5"/>
        <v>0</v>
      </c>
      <c r="W38" s="3"/>
      <c r="X38" s="8">
        <f t="shared" si="6"/>
        <v>198244.99</v>
      </c>
      <c r="Y38" s="3"/>
      <c r="Z38" s="7">
        <f t="shared" si="7"/>
        <v>3.2926067857150567</v>
      </c>
    </row>
    <row r="39" spans="1:26" s="70" customFormat="1" ht="15" hidden="1" customHeight="1" outlineLevel="2" x14ac:dyDescent="0.25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8">
        <v>885.6</v>
      </c>
      <c r="E39" s="3"/>
      <c r="F39" s="7">
        <f t="shared" si="0"/>
        <v>0</v>
      </c>
      <c r="G39" s="3"/>
      <c r="H39" s="8">
        <v>23045.657325</v>
      </c>
      <c r="I39" s="3"/>
      <c r="J39" s="7">
        <f t="shared" si="1"/>
        <v>0</v>
      </c>
      <c r="K39" s="3"/>
      <c r="L39" s="8">
        <f t="shared" si="2"/>
        <v>-22160.057325000002</v>
      </c>
      <c r="M39" s="3"/>
      <c r="N39" s="7">
        <f t="shared" si="3"/>
        <v>-0.96157193576599365</v>
      </c>
      <c r="O39" s="12"/>
      <c r="P39" s="8">
        <v>17290.43</v>
      </c>
      <c r="Q39" s="3"/>
      <c r="R39" s="7">
        <f t="shared" si="4"/>
        <v>0</v>
      </c>
      <c r="S39" s="3"/>
      <c r="T39" s="8">
        <v>317935.50377499999</v>
      </c>
      <c r="U39" s="3"/>
      <c r="V39" s="7">
        <f t="shared" si="5"/>
        <v>0</v>
      </c>
      <c r="W39" s="3"/>
      <c r="X39" s="8">
        <f t="shared" si="6"/>
        <v>-300645.073775</v>
      </c>
      <c r="Y39" s="3"/>
      <c r="Z39" s="7">
        <f t="shared" si="7"/>
        <v>-0.94561654865624489</v>
      </c>
    </row>
    <row r="40" spans="1:26" s="70" customFormat="1" ht="15" hidden="1" customHeight="1" outlineLevel="2" x14ac:dyDescent="0.25">
      <c r="A40" s="25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25">
      <c r="A42" s="26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SUM(OSRRefP22_2x_0)</f>
        <v>233.62</v>
      </c>
      <c r="Q42" s="2"/>
      <c r="R42" s="6">
        <f t="shared" si="4"/>
        <v>0</v>
      </c>
      <c r="S42" s="2"/>
      <c r="T42" s="2">
        <f>SUM(OSRRefT22_2x_0)</f>
        <v>0</v>
      </c>
      <c r="U42" s="2"/>
      <c r="V42" s="6">
        <f t="shared" si="5"/>
        <v>0</v>
      </c>
      <c r="W42" s="2"/>
      <c r="X42" s="2">
        <f t="shared" si="6"/>
        <v>233.62</v>
      </c>
      <c r="Y42" s="2"/>
      <c r="Z42" s="6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>
        <v>233.62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233.62</v>
      </c>
      <c r="Y43" s="3"/>
      <c r="Z43" s="7">
        <f t="shared" si="7"/>
        <v>0</v>
      </c>
    </row>
    <row r="44" spans="1:26" s="69" customFormat="1" ht="15" customHeight="1" outlineLevel="1" collapsed="1" x14ac:dyDescent="0.25">
      <c r="A44" s="26"/>
      <c r="B44" s="14" t="str">
        <f>CONCATENATE("     ","Bad Debts/Over/Short                              ")</f>
        <v xml:space="preserve">     Bad Debts/Over/Short                              </v>
      </c>
      <c r="C44" s="14"/>
      <c r="D44" s="2">
        <f>SUM(OSRRefD22_3x_0)</f>
        <v>28.27</v>
      </c>
      <c r="E44" s="2"/>
      <c r="F44" s="6">
        <f t="shared" si="0"/>
        <v>0</v>
      </c>
      <c r="G44" s="2"/>
      <c r="H44" s="2">
        <f>SUM(OSRRefH22_3x_0)</f>
        <v>200</v>
      </c>
      <c r="I44" s="2"/>
      <c r="J44" s="6">
        <f t="shared" si="1"/>
        <v>0</v>
      </c>
      <c r="K44" s="2"/>
      <c r="L44" s="2">
        <f t="shared" si="2"/>
        <v>-171.73</v>
      </c>
      <c r="M44" s="2"/>
      <c r="N44" s="6">
        <f t="shared" si="3"/>
        <v>-0.85864999999999991</v>
      </c>
      <c r="O44" s="14"/>
      <c r="P44" s="2">
        <f>SUM(OSRRefP22_3x_0)</f>
        <v>91.95</v>
      </c>
      <c r="Q44" s="2"/>
      <c r="R44" s="6">
        <f t="shared" si="4"/>
        <v>0</v>
      </c>
      <c r="S44" s="2"/>
      <c r="T44" s="2">
        <f>SUM(OSRRefT22_3x_0)</f>
        <v>2200</v>
      </c>
      <c r="U44" s="2"/>
      <c r="V44" s="6">
        <f t="shared" si="5"/>
        <v>0</v>
      </c>
      <c r="W44" s="2"/>
      <c r="X44" s="2">
        <f t="shared" si="6"/>
        <v>-2108.0500000000002</v>
      </c>
      <c r="Y44" s="2"/>
      <c r="Z44" s="6">
        <f t="shared" si="7"/>
        <v>-0.95820454545454559</v>
      </c>
    </row>
    <row r="45" spans="1:26" s="70" customFormat="1" ht="15" hidden="1" customHeight="1" outlineLevel="2" x14ac:dyDescent="0.25">
      <c r="A45" s="25"/>
      <c r="B45" s="12" t="str">
        <f>CONCATENATE("          ","6272"," - ","CASH (OVER/SHORT)")</f>
        <v xml:space="preserve">          6272 - CASH (OVER/SHORT)</v>
      </c>
      <c r="C45" s="12"/>
      <c r="D45" s="8">
        <v>28.27</v>
      </c>
      <c r="E45" s="3"/>
      <c r="F45" s="7">
        <f t="shared" si="0"/>
        <v>0</v>
      </c>
      <c r="G45" s="3"/>
      <c r="H45" s="8">
        <v>200</v>
      </c>
      <c r="I45" s="3"/>
      <c r="J45" s="7">
        <f t="shared" si="1"/>
        <v>0</v>
      </c>
      <c r="K45" s="3"/>
      <c r="L45" s="8">
        <f t="shared" si="2"/>
        <v>-171.73</v>
      </c>
      <c r="M45" s="3"/>
      <c r="N45" s="7">
        <f t="shared" si="3"/>
        <v>-0.85864999999999991</v>
      </c>
      <c r="O45" s="12"/>
      <c r="P45" s="8">
        <v>91.95</v>
      </c>
      <c r="Q45" s="3"/>
      <c r="R45" s="7">
        <f t="shared" si="4"/>
        <v>0</v>
      </c>
      <c r="S45" s="3"/>
      <c r="T45" s="8">
        <v>2200</v>
      </c>
      <c r="U45" s="3"/>
      <c r="V45" s="7">
        <f t="shared" si="5"/>
        <v>0</v>
      </c>
      <c r="W45" s="3"/>
      <c r="X45" s="8">
        <f t="shared" si="6"/>
        <v>-2108.0500000000002</v>
      </c>
      <c r="Y45" s="3"/>
      <c r="Z45" s="7">
        <f t="shared" si="7"/>
        <v>-0.95820454545454559</v>
      </c>
    </row>
    <row r="46" spans="1:26" s="69" customFormat="1" ht="15" customHeight="1" outlineLevel="1" collapsed="1" x14ac:dyDescent="0.25">
      <c r="A46" s="26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SUM(OSRRefD22_4x_0)</f>
        <v>15234.47</v>
      </c>
      <c r="E46" s="2"/>
      <c r="F46" s="6">
        <f t="shared" si="0"/>
        <v>0</v>
      </c>
      <c r="G46" s="2"/>
      <c r="H46" s="2">
        <f>SUM(OSRRefH22_4x_0)</f>
        <v>12000</v>
      </c>
      <c r="I46" s="2"/>
      <c r="J46" s="6">
        <f t="shared" si="1"/>
        <v>0</v>
      </c>
      <c r="K46" s="2"/>
      <c r="L46" s="2">
        <f t="shared" si="2"/>
        <v>3234.4699999999993</v>
      </c>
      <c r="M46" s="2"/>
      <c r="N46" s="6">
        <f t="shared" si="3"/>
        <v>0.26953916666666661</v>
      </c>
      <c r="O46" s="14"/>
      <c r="P46" s="2">
        <f>SUM(OSRRefP22_4x_0)</f>
        <v>136668.69</v>
      </c>
      <c r="Q46" s="2"/>
      <c r="R46" s="6">
        <f t="shared" si="4"/>
        <v>0</v>
      </c>
      <c r="S46" s="2"/>
      <c r="T46" s="2">
        <f>SUM(OSRRefT22_4x_0)</f>
        <v>161100</v>
      </c>
      <c r="U46" s="2"/>
      <c r="V46" s="6">
        <f t="shared" si="5"/>
        <v>0</v>
      </c>
      <c r="W46" s="2"/>
      <c r="X46" s="2">
        <f t="shared" si="6"/>
        <v>-24431.309999999998</v>
      </c>
      <c r="Y46" s="2"/>
      <c r="Z46" s="6">
        <f t="shared" si="7"/>
        <v>-0.1516530726256983</v>
      </c>
    </row>
    <row r="47" spans="1:26" s="70" customFormat="1" ht="15" hidden="1" customHeight="1" outlineLevel="2" x14ac:dyDescent="0.25">
      <c r="A47" s="25"/>
      <c r="B47" s="12" t="str">
        <f>CONCATENATE("          ","6381"," - ","BANK/CREDIT CARD FEES")</f>
        <v xml:space="preserve">          6381 - BANK/CREDIT CARD FEES</v>
      </c>
      <c r="C47" s="12"/>
      <c r="D47" s="8">
        <v>15234.47</v>
      </c>
      <c r="E47" s="3"/>
      <c r="F47" s="7">
        <f t="shared" si="0"/>
        <v>0</v>
      </c>
      <c r="G47" s="3"/>
      <c r="H47" s="8">
        <v>12000</v>
      </c>
      <c r="I47" s="3"/>
      <c r="J47" s="7">
        <f t="shared" si="1"/>
        <v>0</v>
      </c>
      <c r="K47" s="3"/>
      <c r="L47" s="8">
        <f t="shared" si="2"/>
        <v>3234.4699999999993</v>
      </c>
      <c r="M47" s="3"/>
      <c r="N47" s="7">
        <f t="shared" si="3"/>
        <v>0.26953916666666661</v>
      </c>
      <c r="O47" s="12"/>
      <c r="P47" s="8">
        <v>136668.69</v>
      </c>
      <c r="Q47" s="3"/>
      <c r="R47" s="7">
        <f t="shared" si="4"/>
        <v>0</v>
      </c>
      <c r="S47" s="3"/>
      <c r="T47" s="8">
        <v>161100</v>
      </c>
      <c r="U47" s="3"/>
      <c r="V47" s="7">
        <f t="shared" si="5"/>
        <v>0</v>
      </c>
      <c r="W47" s="3"/>
      <c r="X47" s="8">
        <f t="shared" si="6"/>
        <v>-24431.309999999998</v>
      </c>
      <c r="Y47" s="3"/>
      <c r="Z47" s="7">
        <f t="shared" si="7"/>
        <v>-0.1516530726256983</v>
      </c>
    </row>
    <row r="48" spans="1:26" s="69" customFormat="1" ht="15" customHeight="1" outlineLevel="1" collapsed="1" x14ac:dyDescent="0.25">
      <c r="A48" s="26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16210.169999999998</v>
      </c>
      <c r="E48" s="2"/>
      <c r="F48" s="6">
        <f t="shared" si="0"/>
        <v>0</v>
      </c>
      <c r="G48" s="2"/>
      <c r="H48" s="2">
        <f>SUM(OSRRefH22_5x_0)</f>
        <v>16089</v>
      </c>
      <c r="I48" s="2"/>
      <c r="J48" s="6">
        <f t="shared" si="1"/>
        <v>0</v>
      </c>
      <c r="K48" s="2"/>
      <c r="L48" s="2">
        <f t="shared" si="2"/>
        <v>121.16999999999825</v>
      </c>
      <c r="M48" s="2"/>
      <c r="N48" s="6">
        <f t="shared" si="3"/>
        <v>7.5312325191123283E-3</v>
      </c>
      <c r="O48" s="14"/>
      <c r="P48" s="2">
        <f>SUM(OSRRefP22_5x_0)</f>
        <v>298327.99</v>
      </c>
      <c r="Q48" s="2"/>
      <c r="R48" s="6">
        <f t="shared" si="4"/>
        <v>0</v>
      </c>
      <c r="S48" s="2"/>
      <c r="T48" s="2">
        <f>SUM(OSRRefT22_5x_0)</f>
        <v>296996</v>
      </c>
      <c r="U48" s="2"/>
      <c r="V48" s="6">
        <f t="shared" si="5"/>
        <v>0</v>
      </c>
      <c r="W48" s="2"/>
      <c r="X48" s="2">
        <f t="shared" si="6"/>
        <v>1331.9899999999907</v>
      </c>
      <c r="Y48" s="2"/>
      <c r="Z48" s="6">
        <f t="shared" si="7"/>
        <v>4.4848752171746109E-3</v>
      </c>
    </row>
    <row r="49" spans="1:26" s="70" customFormat="1" ht="15" hidden="1" customHeight="1" outlineLevel="2" x14ac:dyDescent="0.25">
      <c r="A49" s="25"/>
      <c r="B49" s="12" t="str">
        <f>CONCATENATE("          ","6321"," - ","BUILDING DEPRECIATION")</f>
        <v xml:space="preserve">          6321 - BUILDING DEPRECIATION</v>
      </c>
      <c r="C49" s="12"/>
      <c r="D49" s="8">
        <v>13321.71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13321.71</v>
      </c>
      <c r="M49" s="3"/>
      <c r="N49" s="7">
        <f t="shared" si="3"/>
        <v>0</v>
      </c>
      <c r="O49" s="12"/>
      <c r="P49" s="8">
        <v>165797.54999999999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165797.54999999999</v>
      </c>
      <c r="Y49" s="3"/>
      <c r="Z49" s="7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2888.46</v>
      </c>
      <c r="E50" s="3"/>
      <c r="F50" s="7">
        <f t="shared" si="0"/>
        <v>0</v>
      </c>
      <c r="G50" s="3"/>
      <c r="H50" s="8">
        <v>16089</v>
      </c>
      <c r="I50" s="3"/>
      <c r="J50" s="7">
        <f t="shared" si="1"/>
        <v>0</v>
      </c>
      <c r="K50" s="3"/>
      <c r="L50" s="8">
        <f t="shared" si="2"/>
        <v>-13200.54</v>
      </c>
      <c r="M50" s="3"/>
      <c r="N50" s="7">
        <f t="shared" si="3"/>
        <v>-0.82046988625769168</v>
      </c>
      <c r="O50" s="12"/>
      <c r="P50" s="8">
        <v>132530.44</v>
      </c>
      <c r="Q50" s="3"/>
      <c r="R50" s="7">
        <f t="shared" si="4"/>
        <v>0</v>
      </c>
      <c r="S50" s="3"/>
      <c r="T50" s="8">
        <v>296996</v>
      </c>
      <c r="U50" s="3"/>
      <c r="V50" s="7">
        <f t="shared" si="5"/>
        <v>0</v>
      </c>
      <c r="W50" s="3"/>
      <c r="X50" s="8">
        <f t="shared" si="6"/>
        <v>-164465.56</v>
      </c>
      <c r="Y50" s="3"/>
      <c r="Z50" s="7">
        <f t="shared" si="7"/>
        <v>-0.55376355237107566</v>
      </c>
    </row>
    <row r="51" spans="1:26" s="69" customFormat="1" ht="15" customHeight="1" outlineLevel="1" collapsed="1" x14ac:dyDescent="0.25">
      <c r="A51" s="26"/>
      <c r="B51" s="14" t="str">
        <f>CONCATENATE("     ","Discounts and Markdowns                           ")</f>
        <v xml:space="preserve">     Discounts and Markdowns                           </v>
      </c>
      <c r="C51" s="14"/>
      <c r="D51" s="2">
        <f>SUM(OSRRefD22_6x_0)</f>
        <v>0</v>
      </c>
      <c r="E51" s="2"/>
      <c r="F51" s="6">
        <f t="shared" ref="F51:F82" si="8">IF(D$12=0,0,D51/D$12)</f>
        <v>0</v>
      </c>
      <c r="G51" s="2"/>
      <c r="H51" s="2">
        <f>SUM(OSRRefH22_6x_0)</f>
        <v>0</v>
      </c>
      <c r="I51" s="2"/>
      <c r="J51" s="6">
        <f t="shared" ref="J51:J82" si="9">IF(H$12=0,0,H51/H$12)</f>
        <v>0</v>
      </c>
      <c r="K51" s="2"/>
      <c r="L51" s="2">
        <f t="shared" ref="L51:L82" si="10">+D51-H51</f>
        <v>0</v>
      </c>
      <c r="M51" s="2"/>
      <c r="N51" s="6">
        <f t="shared" ref="N51:N82" si="11">IF(H51=0,0,L51/H51)</f>
        <v>0</v>
      </c>
      <c r="O51" s="14"/>
      <c r="P51" s="2">
        <f>SUM(OSRRefP22_6x_0)</f>
        <v>2026.83</v>
      </c>
      <c r="Q51" s="2"/>
      <c r="R51" s="6">
        <f t="shared" ref="R51:R82" si="12">IF(P$12=0,0,P51/P$12)</f>
        <v>0</v>
      </c>
      <c r="S51" s="2"/>
      <c r="T51" s="2">
        <f>SUM(OSRRefT22_6x_0)</f>
        <v>0</v>
      </c>
      <c r="U51" s="2"/>
      <c r="V51" s="6">
        <f t="shared" ref="V51:V82" si="13">IF(T$12=0,0,T51/T$12)</f>
        <v>0</v>
      </c>
      <c r="W51" s="2"/>
      <c r="X51" s="2">
        <f t="shared" ref="X51:X82" si="14">+P51-T51</f>
        <v>2026.83</v>
      </c>
      <c r="Y51" s="2"/>
      <c r="Z51" s="6">
        <f t="shared" ref="Z51:Z82" si="15">IF(T51=0,0,X51/T51)</f>
        <v>0</v>
      </c>
    </row>
    <row r="52" spans="1:26" s="70" customFormat="1" ht="15" hidden="1" customHeight="1" outlineLevel="2" x14ac:dyDescent="0.25">
      <c r="A52" s="25"/>
      <c r="B52" s="12" t="str">
        <f>CONCATENATE("          ","6382"," - ","DISCOUNTS/MARK DOWNS")</f>
        <v xml:space="preserve">          6382 - DISCOUNTS/MARK DOWNS</v>
      </c>
      <c r="C52" s="12"/>
      <c r="D52" s="8"/>
      <c r="E52" s="3"/>
      <c r="F52" s="7">
        <f t="shared" si="8"/>
        <v>0</v>
      </c>
      <c r="G52" s="3"/>
      <c r="H52" s="8"/>
      <c r="I52" s="3"/>
      <c r="J52" s="7">
        <f t="shared" si="9"/>
        <v>0</v>
      </c>
      <c r="K52" s="3"/>
      <c r="L52" s="8">
        <f t="shared" si="10"/>
        <v>0</v>
      </c>
      <c r="M52" s="3"/>
      <c r="N52" s="7">
        <f t="shared" si="11"/>
        <v>0</v>
      </c>
      <c r="O52" s="12"/>
      <c r="P52" s="8">
        <v>2170</v>
      </c>
      <c r="Q52" s="3"/>
      <c r="R52" s="7">
        <f t="shared" si="12"/>
        <v>0</v>
      </c>
      <c r="S52" s="3"/>
      <c r="T52" s="8"/>
      <c r="U52" s="3"/>
      <c r="V52" s="7">
        <f t="shared" si="13"/>
        <v>0</v>
      </c>
      <c r="W52" s="3"/>
      <c r="X52" s="8">
        <f t="shared" si="14"/>
        <v>2170</v>
      </c>
      <c r="Y52" s="3"/>
      <c r="Z52" s="7">
        <f t="shared" si="15"/>
        <v>0</v>
      </c>
    </row>
    <row r="53" spans="1:26" s="70" customFormat="1" ht="15" hidden="1" customHeight="1" outlineLevel="2" x14ac:dyDescent="0.25">
      <c r="A53" s="25"/>
      <c r="B53" s="12" t="str">
        <f>CONCATENATE("          ","9175"," - ","EARNED DISCOUNTS")</f>
        <v xml:space="preserve">          9175 - EARNED DISCOUNTS</v>
      </c>
      <c r="C53" s="12"/>
      <c r="D53" s="8"/>
      <c r="E53" s="3"/>
      <c r="F53" s="7">
        <f t="shared" si="8"/>
        <v>0</v>
      </c>
      <c r="G53" s="3"/>
      <c r="H53" s="8"/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>
        <v>-143.16999999999999</v>
      </c>
      <c r="Q53" s="3"/>
      <c r="R53" s="7">
        <f t="shared" si="12"/>
        <v>0</v>
      </c>
      <c r="S53" s="3"/>
      <c r="T53" s="8"/>
      <c r="U53" s="3"/>
      <c r="V53" s="7">
        <f t="shared" si="13"/>
        <v>0</v>
      </c>
      <c r="W53" s="3"/>
      <c r="X53" s="8">
        <f t="shared" si="14"/>
        <v>-143.16999999999999</v>
      </c>
      <c r="Y53" s="3"/>
      <c r="Z53" s="7">
        <f t="shared" si="15"/>
        <v>0</v>
      </c>
    </row>
    <row r="54" spans="1:26" s="69" customFormat="1" ht="15" customHeight="1" outlineLevel="1" collapsed="1" x14ac:dyDescent="0.25">
      <c r="A54" s="26"/>
      <c r="B54" s="14" t="str">
        <f>CONCATENATE("     ","Donations                                         ")</f>
        <v xml:space="preserve">     Donations                                         </v>
      </c>
      <c r="C54" s="14"/>
      <c r="D54" s="2">
        <f>SUM(OSRRefD22_7x_0)</f>
        <v>132.07</v>
      </c>
      <c r="E54" s="2"/>
      <c r="F54" s="6">
        <f t="shared" si="8"/>
        <v>0</v>
      </c>
      <c r="G54" s="2"/>
      <c r="H54" s="2">
        <f>SUM(OSRRefH22_7x_0)</f>
        <v>1250</v>
      </c>
      <c r="I54" s="2"/>
      <c r="J54" s="6">
        <f t="shared" si="9"/>
        <v>0</v>
      </c>
      <c r="K54" s="2"/>
      <c r="L54" s="2">
        <f t="shared" si="10"/>
        <v>-1117.93</v>
      </c>
      <c r="M54" s="2"/>
      <c r="N54" s="6">
        <f t="shared" si="11"/>
        <v>-0.89434400000000003</v>
      </c>
      <c r="O54" s="14"/>
      <c r="P54" s="2">
        <f>SUM(OSRRefP22_7x_0)</f>
        <v>7438.87</v>
      </c>
      <c r="Q54" s="2"/>
      <c r="R54" s="6">
        <f t="shared" si="12"/>
        <v>0</v>
      </c>
      <c r="S54" s="2"/>
      <c r="T54" s="2">
        <f>SUM(OSRRefT22_7x_0)</f>
        <v>13750</v>
      </c>
      <c r="U54" s="2"/>
      <c r="V54" s="6">
        <f t="shared" si="13"/>
        <v>0</v>
      </c>
      <c r="W54" s="2"/>
      <c r="X54" s="2">
        <f t="shared" si="14"/>
        <v>-6311.13</v>
      </c>
      <c r="Y54" s="2"/>
      <c r="Z54" s="6">
        <f t="shared" si="15"/>
        <v>-0.45899127272727275</v>
      </c>
    </row>
    <row r="55" spans="1:26" s="70" customFormat="1" ht="15" hidden="1" customHeight="1" outlineLevel="2" x14ac:dyDescent="0.25">
      <c r="A55" s="25"/>
      <c r="B55" s="12" t="str">
        <f>CONCATENATE("          ","6399"," - ","DONATION-ON CAMPUS")</f>
        <v xml:space="preserve">          6399 - DONATION-ON CAMPUS</v>
      </c>
      <c r="C55" s="12"/>
      <c r="D55" s="8">
        <v>132.07</v>
      </c>
      <c r="E55" s="3"/>
      <c r="F55" s="7">
        <f t="shared" si="8"/>
        <v>0</v>
      </c>
      <c r="G55" s="3"/>
      <c r="H55" s="8">
        <v>1250</v>
      </c>
      <c r="I55" s="3"/>
      <c r="J55" s="7">
        <f t="shared" si="9"/>
        <v>0</v>
      </c>
      <c r="K55" s="3"/>
      <c r="L55" s="8">
        <f t="shared" si="10"/>
        <v>-1117.93</v>
      </c>
      <c r="M55" s="3"/>
      <c r="N55" s="7">
        <f t="shared" si="11"/>
        <v>-0.89434400000000003</v>
      </c>
      <c r="O55" s="12"/>
      <c r="P55" s="8">
        <v>7438.87</v>
      </c>
      <c r="Q55" s="3"/>
      <c r="R55" s="7">
        <f t="shared" si="12"/>
        <v>0</v>
      </c>
      <c r="S55" s="3"/>
      <c r="T55" s="8">
        <v>13750</v>
      </c>
      <c r="U55" s="3"/>
      <c r="V55" s="7">
        <f t="shared" si="13"/>
        <v>0</v>
      </c>
      <c r="W55" s="3"/>
      <c r="X55" s="8">
        <f t="shared" si="14"/>
        <v>-6311.13</v>
      </c>
      <c r="Y55" s="3"/>
      <c r="Z55" s="7">
        <f t="shared" si="15"/>
        <v>-0.45899127272727275</v>
      </c>
    </row>
    <row r="56" spans="1:26" s="69" customFormat="1" ht="15" customHeight="1" outlineLevel="1" collapsed="1" x14ac:dyDescent="0.25">
      <c r="A56" s="26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SUM(OSRRefD22_8x_0)</f>
        <v>21.5</v>
      </c>
      <c r="E56" s="2"/>
      <c r="F56" s="6">
        <f t="shared" si="8"/>
        <v>0</v>
      </c>
      <c r="G56" s="2"/>
      <c r="H56" s="2">
        <f>SUM(OSRRefH22_8x_0)</f>
        <v>100</v>
      </c>
      <c r="I56" s="2"/>
      <c r="J56" s="6">
        <f t="shared" si="9"/>
        <v>0</v>
      </c>
      <c r="K56" s="2"/>
      <c r="L56" s="2">
        <f t="shared" si="10"/>
        <v>-78.5</v>
      </c>
      <c r="M56" s="2"/>
      <c r="N56" s="6">
        <f t="shared" si="11"/>
        <v>-0.78500000000000003</v>
      </c>
      <c r="O56" s="14"/>
      <c r="P56" s="2">
        <f>SUM(OSRRefP22_8x_0)</f>
        <v>4050.25</v>
      </c>
      <c r="Q56" s="2"/>
      <c r="R56" s="6">
        <f t="shared" si="12"/>
        <v>0</v>
      </c>
      <c r="S56" s="2"/>
      <c r="T56" s="2">
        <f>SUM(OSRRefT22_8x_0)</f>
        <v>1100</v>
      </c>
      <c r="U56" s="2"/>
      <c r="V56" s="6">
        <f t="shared" si="13"/>
        <v>0</v>
      </c>
      <c r="W56" s="2"/>
      <c r="X56" s="2">
        <f t="shared" si="14"/>
        <v>2950.25</v>
      </c>
      <c r="Y56" s="2"/>
      <c r="Z56" s="6">
        <f t="shared" si="15"/>
        <v>2.6820454545454546</v>
      </c>
    </row>
    <row r="57" spans="1:26" s="70" customFormat="1" ht="15" hidden="1" customHeight="1" outlineLevel="2" x14ac:dyDescent="0.25">
      <c r="A57" s="25"/>
      <c r="B57" s="12" t="str">
        <f>CONCATENATE("          ","6277"," - ","EMPLOYEE APPRECIATION")</f>
        <v xml:space="preserve">          6277 - EMPLOYEE APPRECIATION</v>
      </c>
      <c r="C57" s="12"/>
      <c r="D57" s="8">
        <v>21.5</v>
      </c>
      <c r="E57" s="3"/>
      <c r="F57" s="7">
        <f t="shared" si="8"/>
        <v>0</v>
      </c>
      <c r="G57" s="3"/>
      <c r="H57" s="8">
        <v>100</v>
      </c>
      <c r="I57" s="3"/>
      <c r="J57" s="7">
        <f t="shared" si="9"/>
        <v>0</v>
      </c>
      <c r="K57" s="3"/>
      <c r="L57" s="8">
        <f t="shared" si="10"/>
        <v>-78.5</v>
      </c>
      <c r="M57" s="3"/>
      <c r="N57" s="7">
        <f t="shared" si="11"/>
        <v>-0.78500000000000003</v>
      </c>
      <c r="O57" s="12"/>
      <c r="P57" s="8">
        <v>4050.25</v>
      </c>
      <c r="Q57" s="3"/>
      <c r="R57" s="7">
        <f t="shared" si="12"/>
        <v>0</v>
      </c>
      <c r="S57" s="3"/>
      <c r="T57" s="8">
        <v>1100</v>
      </c>
      <c r="U57" s="3"/>
      <c r="V57" s="7">
        <f t="shared" si="13"/>
        <v>0</v>
      </c>
      <c r="W57" s="3"/>
      <c r="X57" s="8">
        <f t="shared" si="14"/>
        <v>2950.25</v>
      </c>
      <c r="Y57" s="3"/>
      <c r="Z57" s="7">
        <f t="shared" si="15"/>
        <v>2.6820454545454546</v>
      </c>
    </row>
    <row r="58" spans="1:26" s="69" customFormat="1" ht="15" customHeight="1" outlineLevel="1" collapsed="1" x14ac:dyDescent="0.25">
      <c r="A58" s="26"/>
      <c r="B58" s="14" t="str">
        <f>CONCATENATE("     ","Equipment Rental                                  ")</f>
        <v xml:space="preserve">     Equipment Rental                                  </v>
      </c>
      <c r="C58" s="14"/>
      <c r="D58" s="2">
        <f>SUM(OSRRefD22_9x_0)</f>
        <v>415.15</v>
      </c>
      <c r="E58" s="2"/>
      <c r="F58" s="6">
        <f t="shared" si="8"/>
        <v>0</v>
      </c>
      <c r="G58" s="2"/>
      <c r="H58" s="2">
        <f>SUM(OSRRefH22_9x_0)</f>
        <v>300</v>
      </c>
      <c r="I58" s="2"/>
      <c r="J58" s="6">
        <f t="shared" si="9"/>
        <v>0</v>
      </c>
      <c r="K58" s="2"/>
      <c r="L58" s="2">
        <f t="shared" si="10"/>
        <v>115.14999999999998</v>
      </c>
      <c r="M58" s="2"/>
      <c r="N58" s="6">
        <f t="shared" si="11"/>
        <v>0.38383333333333325</v>
      </c>
      <c r="O58" s="14"/>
      <c r="P58" s="2">
        <f>SUM(OSRRefP22_9x_0)</f>
        <v>3034.29</v>
      </c>
      <c r="Q58" s="2"/>
      <c r="R58" s="6">
        <f t="shared" si="12"/>
        <v>0</v>
      </c>
      <c r="S58" s="2"/>
      <c r="T58" s="2">
        <f>SUM(OSRRefT22_9x_0)</f>
        <v>3300</v>
      </c>
      <c r="U58" s="2"/>
      <c r="V58" s="6">
        <f t="shared" si="13"/>
        <v>0</v>
      </c>
      <c r="W58" s="2"/>
      <c r="X58" s="2">
        <f t="shared" si="14"/>
        <v>-265.71000000000004</v>
      </c>
      <c r="Y58" s="2"/>
      <c r="Z58" s="6">
        <f t="shared" si="15"/>
        <v>-8.0518181818181836E-2</v>
      </c>
    </row>
    <row r="59" spans="1:26" s="70" customFormat="1" ht="15" hidden="1" customHeight="1" outlineLevel="2" x14ac:dyDescent="0.25">
      <c r="A59" s="25"/>
      <c r="B59" s="12" t="str">
        <f>CONCATENATE("          ","6351"," - ","EQUIPMENT RENTAL")</f>
        <v xml:space="preserve">          6351 - EQUIPMENT RENTAL</v>
      </c>
      <c r="C59" s="12"/>
      <c r="D59" s="8">
        <v>415.15</v>
      </c>
      <c r="E59" s="3"/>
      <c r="F59" s="7">
        <f t="shared" si="8"/>
        <v>0</v>
      </c>
      <c r="G59" s="3"/>
      <c r="H59" s="8">
        <v>300</v>
      </c>
      <c r="I59" s="3"/>
      <c r="J59" s="7">
        <f t="shared" si="9"/>
        <v>0</v>
      </c>
      <c r="K59" s="3"/>
      <c r="L59" s="8">
        <f t="shared" si="10"/>
        <v>115.14999999999998</v>
      </c>
      <c r="M59" s="3"/>
      <c r="N59" s="7">
        <f t="shared" si="11"/>
        <v>0.38383333333333325</v>
      </c>
      <c r="O59" s="12"/>
      <c r="P59" s="8">
        <v>3034.29</v>
      </c>
      <c r="Q59" s="3"/>
      <c r="R59" s="7">
        <f t="shared" si="12"/>
        <v>0</v>
      </c>
      <c r="S59" s="3"/>
      <c r="T59" s="8">
        <v>3300</v>
      </c>
      <c r="U59" s="3"/>
      <c r="V59" s="7">
        <f t="shared" si="13"/>
        <v>0</v>
      </c>
      <c r="W59" s="3"/>
      <c r="X59" s="8">
        <f t="shared" si="14"/>
        <v>-265.71000000000004</v>
      </c>
      <c r="Y59" s="3"/>
      <c r="Z59" s="7">
        <f t="shared" si="15"/>
        <v>-8.0518181818181836E-2</v>
      </c>
    </row>
    <row r="60" spans="1:26" s="69" customFormat="1" ht="15" customHeight="1" outlineLevel="1" collapsed="1" x14ac:dyDescent="0.25">
      <c r="A60" s="26"/>
      <c r="B60" s="14" t="str">
        <f>CONCATENATE("     ","Freight out/Postage                               ")</f>
        <v xml:space="preserve">     Freight out/Postage                               </v>
      </c>
      <c r="C60" s="14"/>
      <c r="D60" s="2">
        <f>SUM(OSRRefD22_10x_0)</f>
        <v>15.95</v>
      </c>
      <c r="E60" s="2"/>
      <c r="F60" s="6">
        <f t="shared" si="8"/>
        <v>0</v>
      </c>
      <c r="G60" s="2"/>
      <c r="H60" s="2">
        <f>SUM(OSRRefH22_10x_0)</f>
        <v>100</v>
      </c>
      <c r="I60" s="2"/>
      <c r="J60" s="6">
        <f t="shared" si="9"/>
        <v>0</v>
      </c>
      <c r="K60" s="2"/>
      <c r="L60" s="2">
        <f t="shared" si="10"/>
        <v>-84.05</v>
      </c>
      <c r="M60" s="2"/>
      <c r="N60" s="6">
        <f t="shared" si="11"/>
        <v>-0.84050000000000002</v>
      </c>
      <c r="O60" s="14"/>
      <c r="P60" s="2">
        <f>SUM(OSRRefP22_10x_0)</f>
        <v>11296.03</v>
      </c>
      <c r="Q60" s="2"/>
      <c r="R60" s="6">
        <f t="shared" si="12"/>
        <v>0</v>
      </c>
      <c r="S60" s="2"/>
      <c r="T60" s="2">
        <f>SUM(OSRRefT22_10x_0)</f>
        <v>1100</v>
      </c>
      <c r="U60" s="2"/>
      <c r="V60" s="6">
        <f t="shared" si="13"/>
        <v>0</v>
      </c>
      <c r="W60" s="2"/>
      <c r="X60" s="2">
        <f t="shared" si="14"/>
        <v>10196.030000000001</v>
      </c>
      <c r="Y60" s="2"/>
      <c r="Z60" s="6">
        <f t="shared" si="15"/>
        <v>9.2691181818181825</v>
      </c>
    </row>
    <row r="61" spans="1:26" s="70" customFormat="1" ht="15" hidden="1" customHeight="1" outlineLevel="2" x14ac:dyDescent="0.25">
      <c r="A61" s="25"/>
      <c r="B61" s="12" t="str">
        <f>CONCATENATE("          ","6307"," - ","POSTAGE")</f>
        <v xml:space="preserve">          6307 - POSTAGE</v>
      </c>
      <c r="C61" s="12"/>
      <c r="D61" s="8">
        <v>15.95</v>
      </c>
      <c r="E61" s="3"/>
      <c r="F61" s="7">
        <f t="shared" si="8"/>
        <v>0</v>
      </c>
      <c r="G61" s="3"/>
      <c r="H61" s="8">
        <v>100</v>
      </c>
      <c r="I61" s="3"/>
      <c r="J61" s="7">
        <f t="shared" si="9"/>
        <v>0</v>
      </c>
      <c r="K61" s="3"/>
      <c r="L61" s="8">
        <f t="shared" si="10"/>
        <v>-84.05</v>
      </c>
      <c r="M61" s="3"/>
      <c r="N61" s="7">
        <f t="shared" si="11"/>
        <v>-0.84050000000000002</v>
      </c>
      <c r="O61" s="12"/>
      <c r="P61" s="8">
        <v>11296.03</v>
      </c>
      <c r="Q61" s="3"/>
      <c r="R61" s="7">
        <f t="shared" si="12"/>
        <v>0</v>
      </c>
      <c r="S61" s="3"/>
      <c r="T61" s="8">
        <v>1100</v>
      </c>
      <c r="U61" s="3"/>
      <c r="V61" s="7">
        <f t="shared" si="13"/>
        <v>0</v>
      </c>
      <c r="W61" s="3"/>
      <c r="X61" s="8">
        <f t="shared" si="14"/>
        <v>10196.030000000001</v>
      </c>
      <c r="Y61" s="3"/>
      <c r="Z61" s="7">
        <f t="shared" si="15"/>
        <v>9.2691181818181825</v>
      </c>
    </row>
    <row r="62" spans="1:26" s="69" customFormat="1" ht="15" customHeight="1" outlineLevel="1" collapsed="1" x14ac:dyDescent="0.25">
      <c r="A62" s="26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SUM(OSRRefD22_11x_0)</f>
        <v>45.45</v>
      </c>
      <c r="E62" s="2"/>
      <c r="F62" s="6">
        <f t="shared" si="8"/>
        <v>0</v>
      </c>
      <c r="G62" s="2"/>
      <c r="H62" s="2">
        <f>SUM(OSRRefH22_11x_0)</f>
        <v>200</v>
      </c>
      <c r="I62" s="2"/>
      <c r="J62" s="6">
        <f t="shared" si="9"/>
        <v>0</v>
      </c>
      <c r="K62" s="2"/>
      <c r="L62" s="2">
        <f t="shared" si="10"/>
        <v>-154.55000000000001</v>
      </c>
      <c r="M62" s="2"/>
      <c r="N62" s="6">
        <f t="shared" si="11"/>
        <v>-0.77275000000000005</v>
      </c>
      <c r="O62" s="14"/>
      <c r="P62" s="2">
        <f>SUM(OSRRefP22_11x_0)</f>
        <v>2869.25</v>
      </c>
      <c r="Q62" s="2"/>
      <c r="R62" s="6">
        <f t="shared" si="12"/>
        <v>0</v>
      </c>
      <c r="S62" s="2"/>
      <c r="T62" s="2">
        <f>SUM(OSRRefT22_11x_0)</f>
        <v>2200</v>
      </c>
      <c r="U62" s="2"/>
      <c r="V62" s="6">
        <f t="shared" si="13"/>
        <v>0</v>
      </c>
      <c r="W62" s="2"/>
      <c r="X62" s="2">
        <f t="shared" si="14"/>
        <v>669.25</v>
      </c>
      <c r="Y62" s="2"/>
      <c r="Z62" s="6">
        <f t="shared" si="15"/>
        <v>0.30420454545454545</v>
      </c>
    </row>
    <row r="63" spans="1:26" s="70" customFormat="1" ht="15" hidden="1" customHeight="1" outlineLevel="2" x14ac:dyDescent="0.25">
      <c r="A63" s="25"/>
      <c r="B63" s="12" t="str">
        <f>CONCATENATE("          ","6279"," - ","GENERAL EXPENSE")</f>
        <v xml:space="preserve">          6279 - GENERAL EXPENSE</v>
      </c>
      <c r="C63" s="12"/>
      <c r="D63" s="8">
        <v>45.45</v>
      </c>
      <c r="E63" s="3"/>
      <c r="F63" s="7">
        <f t="shared" si="8"/>
        <v>0</v>
      </c>
      <c r="G63" s="3"/>
      <c r="H63" s="8">
        <v>200</v>
      </c>
      <c r="I63" s="3"/>
      <c r="J63" s="7">
        <f t="shared" si="9"/>
        <v>0</v>
      </c>
      <c r="K63" s="3"/>
      <c r="L63" s="8">
        <f t="shared" si="10"/>
        <v>-154.55000000000001</v>
      </c>
      <c r="M63" s="3"/>
      <c r="N63" s="7">
        <f t="shared" si="11"/>
        <v>-0.77275000000000005</v>
      </c>
      <c r="O63" s="12"/>
      <c r="P63" s="8">
        <v>2869.25</v>
      </c>
      <c r="Q63" s="3"/>
      <c r="R63" s="7">
        <f t="shared" si="12"/>
        <v>0</v>
      </c>
      <c r="S63" s="3"/>
      <c r="T63" s="8">
        <v>2200</v>
      </c>
      <c r="U63" s="3"/>
      <c r="V63" s="7">
        <f t="shared" si="13"/>
        <v>0</v>
      </c>
      <c r="W63" s="3"/>
      <c r="X63" s="8">
        <f t="shared" si="14"/>
        <v>669.25</v>
      </c>
      <c r="Y63" s="3"/>
      <c r="Z63" s="7">
        <f t="shared" si="15"/>
        <v>0.30420454545454545</v>
      </c>
    </row>
    <row r="64" spans="1:26" s="69" customFormat="1" ht="15" customHeight="1" outlineLevel="1" collapsed="1" x14ac:dyDescent="0.25">
      <c r="A64" s="26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SUM(OSRRefD22_12x_0)</f>
        <v>5275.49</v>
      </c>
      <c r="E64" s="2"/>
      <c r="F64" s="6">
        <f t="shared" si="8"/>
        <v>0</v>
      </c>
      <c r="G64" s="2"/>
      <c r="H64" s="2">
        <f>SUM(OSRRefH22_12x_0)</f>
        <v>5200</v>
      </c>
      <c r="I64" s="2"/>
      <c r="J64" s="6">
        <f t="shared" si="9"/>
        <v>0</v>
      </c>
      <c r="K64" s="2"/>
      <c r="L64" s="2">
        <f t="shared" si="10"/>
        <v>75.489999999999782</v>
      </c>
      <c r="M64" s="2"/>
      <c r="N64" s="6">
        <f t="shared" si="11"/>
        <v>1.4517307692307651E-2</v>
      </c>
      <c r="O64" s="14"/>
      <c r="P64" s="2">
        <f>SUM(OSRRefP22_12x_0)</f>
        <v>58030.39</v>
      </c>
      <c r="Q64" s="2"/>
      <c r="R64" s="6">
        <f t="shared" si="12"/>
        <v>0</v>
      </c>
      <c r="S64" s="2"/>
      <c r="T64" s="2">
        <f>SUM(OSRRefT22_12x_0)</f>
        <v>57200</v>
      </c>
      <c r="U64" s="2"/>
      <c r="V64" s="6">
        <f t="shared" si="13"/>
        <v>0</v>
      </c>
      <c r="W64" s="2"/>
      <c r="X64" s="2">
        <f t="shared" si="14"/>
        <v>830.38999999999942</v>
      </c>
      <c r="Y64" s="2"/>
      <c r="Z64" s="6">
        <f t="shared" si="15"/>
        <v>1.4517307692307682E-2</v>
      </c>
    </row>
    <row r="65" spans="1:26" s="70" customFormat="1" ht="15" hidden="1" customHeight="1" outlineLevel="2" x14ac:dyDescent="0.25">
      <c r="A65" s="25"/>
      <c r="B65" s="12" t="str">
        <f>CONCATENATE("          ","6314"," - ","LIABILITY INSURANCE")</f>
        <v xml:space="preserve">          6314 - LIABILITY INSURANCE</v>
      </c>
      <c r="C65" s="12"/>
      <c r="D65" s="8">
        <v>5275.49</v>
      </c>
      <c r="E65" s="3"/>
      <c r="F65" s="7">
        <f t="shared" si="8"/>
        <v>0</v>
      </c>
      <c r="G65" s="3"/>
      <c r="H65" s="8">
        <v>5200</v>
      </c>
      <c r="I65" s="3"/>
      <c r="J65" s="7">
        <f t="shared" si="9"/>
        <v>0</v>
      </c>
      <c r="K65" s="3"/>
      <c r="L65" s="8">
        <f t="shared" si="10"/>
        <v>75.489999999999782</v>
      </c>
      <c r="M65" s="3"/>
      <c r="N65" s="7">
        <f t="shared" si="11"/>
        <v>1.4517307692307651E-2</v>
      </c>
      <c r="O65" s="12"/>
      <c r="P65" s="8">
        <v>58030.39</v>
      </c>
      <c r="Q65" s="3"/>
      <c r="R65" s="7">
        <f t="shared" si="12"/>
        <v>0</v>
      </c>
      <c r="S65" s="3"/>
      <c r="T65" s="8">
        <v>57200</v>
      </c>
      <c r="U65" s="3"/>
      <c r="V65" s="7">
        <f t="shared" si="13"/>
        <v>0</v>
      </c>
      <c r="W65" s="3"/>
      <c r="X65" s="8">
        <f t="shared" si="14"/>
        <v>830.38999999999942</v>
      </c>
      <c r="Y65" s="3"/>
      <c r="Z65" s="7">
        <f t="shared" si="15"/>
        <v>1.4517307692307682E-2</v>
      </c>
    </row>
    <row r="66" spans="1:26" s="69" customFormat="1" ht="15" customHeight="1" outlineLevel="1" collapsed="1" x14ac:dyDescent="0.25">
      <c r="A66" s="26"/>
      <c r="B66" s="14" t="str">
        <f>CONCATENATE("     ","Professional Services                             ")</f>
        <v xml:space="preserve">     Professional Services                             </v>
      </c>
      <c r="C66" s="14"/>
      <c r="D66" s="2">
        <f>SUM(OSRRefD22_13x_0)</f>
        <v>0</v>
      </c>
      <c r="E66" s="2"/>
      <c r="F66" s="6">
        <f t="shared" si="8"/>
        <v>0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SUM(OSRRefP22_13x_0)</f>
        <v>7517.43</v>
      </c>
      <c r="Q66" s="2"/>
      <c r="R66" s="6">
        <f t="shared" si="12"/>
        <v>0</v>
      </c>
      <c r="S66" s="2"/>
      <c r="T66" s="2">
        <f>SUM(OSRRefT22_13x_0)</f>
        <v>0</v>
      </c>
      <c r="U66" s="2"/>
      <c r="V66" s="6">
        <f t="shared" si="13"/>
        <v>0</v>
      </c>
      <c r="W66" s="2"/>
      <c r="X66" s="2">
        <f t="shared" si="14"/>
        <v>7517.43</v>
      </c>
      <c r="Y66" s="2"/>
      <c r="Z66" s="6">
        <f t="shared" si="15"/>
        <v>0</v>
      </c>
    </row>
    <row r="67" spans="1:26" s="70" customFormat="1" ht="15" hidden="1" customHeight="1" outlineLevel="2" x14ac:dyDescent="0.25">
      <c r="A67" s="25"/>
      <c r="B67" s="12" t="str">
        <f>CONCATENATE("          ","6336"," - ","PROFESSIONAL SERVICES")</f>
        <v xml:space="preserve">          6336 - PROFESSIONAL SERVICES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7517.43</v>
      </c>
      <c r="Q67" s="3"/>
      <c r="R67" s="7">
        <f t="shared" si="12"/>
        <v>0</v>
      </c>
      <c r="S67" s="3"/>
      <c r="T67" s="8"/>
      <c r="U67" s="3"/>
      <c r="V67" s="7">
        <f t="shared" si="13"/>
        <v>0</v>
      </c>
      <c r="W67" s="3"/>
      <c r="X67" s="8">
        <f t="shared" si="14"/>
        <v>7517.43</v>
      </c>
      <c r="Y67" s="3"/>
      <c r="Z67" s="7">
        <f t="shared" si="15"/>
        <v>0</v>
      </c>
    </row>
    <row r="68" spans="1:26" s="69" customFormat="1" ht="15" customHeight="1" outlineLevel="1" collapsed="1" x14ac:dyDescent="0.25">
      <c r="A68" s="26"/>
      <c r="B68" s="14" t="str">
        <f>CONCATENATE("     ","Rent                                              ")</f>
        <v xml:space="preserve">     Rent                                              </v>
      </c>
      <c r="C68" s="14"/>
      <c r="D68" s="2">
        <f>SUM(OSRRefD22_14x_0)</f>
        <v>-800</v>
      </c>
      <c r="E68" s="2"/>
      <c r="F68" s="6">
        <f t="shared" si="8"/>
        <v>0</v>
      </c>
      <c r="G68" s="2"/>
      <c r="H68" s="2">
        <f>SUM(OSRRefH22_14x_0)</f>
        <v>-800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-8800</v>
      </c>
      <c r="Q68" s="2"/>
      <c r="R68" s="6">
        <f t="shared" si="12"/>
        <v>0</v>
      </c>
      <c r="S68" s="2"/>
      <c r="T68" s="2">
        <f>SUM(OSRRefT22_14x_0)</f>
        <v>-8800</v>
      </c>
      <c r="U68" s="2"/>
      <c r="V68" s="6">
        <f t="shared" si="13"/>
        <v>0</v>
      </c>
      <c r="W68" s="2"/>
      <c r="X68" s="2">
        <f t="shared" si="14"/>
        <v>0</v>
      </c>
      <c r="Y68" s="2"/>
      <c r="Z68" s="6">
        <f t="shared" si="15"/>
        <v>0</v>
      </c>
    </row>
    <row r="69" spans="1:26" s="70" customFormat="1" ht="15" hidden="1" customHeight="1" outlineLevel="2" x14ac:dyDescent="0.25">
      <c r="A69" s="25"/>
      <c r="B69" s="12" t="str">
        <f>CONCATENATE("          ","6273"," - ","RENT")</f>
        <v xml:space="preserve">          6273 - RENT</v>
      </c>
      <c r="C69" s="12"/>
      <c r="D69" s="8">
        <v>-800</v>
      </c>
      <c r="E69" s="3"/>
      <c r="F69" s="7">
        <f t="shared" si="8"/>
        <v>0</v>
      </c>
      <c r="G69" s="3"/>
      <c r="H69" s="8">
        <v>-800</v>
      </c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-8800</v>
      </c>
      <c r="Q69" s="3"/>
      <c r="R69" s="7">
        <f t="shared" si="12"/>
        <v>0</v>
      </c>
      <c r="S69" s="3"/>
      <c r="T69" s="8">
        <v>-8800</v>
      </c>
      <c r="U69" s="3"/>
      <c r="V69" s="7">
        <f t="shared" si="13"/>
        <v>0</v>
      </c>
      <c r="W69" s="3"/>
      <c r="X69" s="8">
        <f t="shared" si="14"/>
        <v>0</v>
      </c>
      <c r="Y69" s="3"/>
      <c r="Z69" s="7">
        <f t="shared" si="15"/>
        <v>0</v>
      </c>
    </row>
    <row r="70" spans="1:26" s="69" customFormat="1" ht="15" customHeight="1" outlineLevel="1" collapsed="1" x14ac:dyDescent="0.25">
      <c r="A70" s="26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SUM(OSRRefD22_15x_0)</f>
        <v>2483.5500000000002</v>
      </c>
      <c r="E70" s="2"/>
      <c r="F70" s="6">
        <f t="shared" si="8"/>
        <v>0</v>
      </c>
      <c r="G70" s="2"/>
      <c r="H70" s="2">
        <f>SUM(OSRRefH22_15x_0)</f>
        <v>4850</v>
      </c>
      <c r="I70" s="2"/>
      <c r="J70" s="6">
        <f t="shared" si="9"/>
        <v>0</v>
      </c>
      <c r="K70" s="2"/>
      <c r="L70" s="2">
        <f t="shared" si="10"/>
        <v>-2366.4499999999998</v>
      </c>
      <c r="M70" s="2"/>
      <c r="N70" s="6">
        <f t="shared" si="11"/>
        <v>-0.48792783505154635</v>
      </c>
      <c r="O70" s="14"/>
      <c r="P70" s="2">
        <f>SUM(OSRRefP22_15x_0)</f>
        <v>98690.700000000012</v>
      </c>
      <c r="Q70" s="2"/>
      <c r="R70" s="6">
        <f t="shared" si="12"/>
        <v>0</v>
      </c>
      <c r="S70" s="2"/>
      <c r="T70" s="2">
        <f>SUM(OSRRefT22_15x_0)</f>
        <v>105770</v>
      </c>
      <c r="U70" s="2"/>
      <c r="V70" s="6">
        <f t="shared" si="13"/>
        <v>0</v>
      </c>
      <c r="W70" s="2"/>
      <c r="X70" s="2">
        <f t="shared" si="14"/>
        <v>-7079.2999999999884</v>
      </c>
      <c r="Y70" s="2"/>
      <c r="Z70" s="6">
        <f t="shared" si="15"/>
        <v>-6.6931076864895411E-2</v>
      </c>
    </row>
    <row r="71" spans="1:26" s="70" customFormat="1" ht="15" hidden="1" customHeight="1" outlineLevel="2" x14ac:dyDescent="0.25">
      <c r="A71" s="25"/>
      <c r="B71" s="12" t="str">
        <f>CONCATENATE("          ","6371"," - ","COMPUTER SOFTWARE MAINTENANCE")</f>
        <v xml:space="preserve">          6371 - COMPUTER SOFTWARE MAINTENANCE</v>
      </c>
      <c r="C71" s="12"/>
      <c r="D71" s="8"/>
      <c r="E71" s="3"/>
      <c r="F71" s="7">
        <f t="shared" si="8"/>
        <v>0</v>
      </c>
      <c r="G71" s="3"/>
      <c r="H71" s="8">
        <v>1000</v>
      </c>
      <c r="I71" s="3"/>
      <c r="J71" s="7">
        <f t="shared" si="9"/>
        <v>0</v>
      </c>
      <c r="K71" s="3"/>
      <c r="L71" s="8">
        <f t="shared" si="10"/>
        <v>-1000</v>
      </c>
      <c r="M71" s="3"/>
      <c r="N71" s="7">
        <f t="shared" si="11"/>
        <v>-1</v>
      </c>
      <c r="O71" s="12"/>
      <c r="P71" s="8">
        <v>56736</v>
      </c>
      <c r="Q71" s="3"/>
      <c r="R71" s="7">
        <f t="shared" si="12"/>
        <v>0</v>
      </c>
      <c r="S71" s="3"/>
      <c r="T71" s="8">
        <v>50000</v>
      </c>
      <c r="U71" s="3"/>
      <c r="V71" s="7">
        <f t="shared" si="13"/>
        <v>0</v>
      </c>
      <c r="W71" s="3"/>
      <c r="X71" s="8">
        <f t="shared" si="14"/>
        <v>6736</v>
      </c>
      <c r="Y71" s="3"/>
      <c r="Z71" s="7">
        <f t="shared" si="15"/>
        <v>0.13472000000000001</v>
      </c>
    </row>
    <row r="72" spans="1:26" s="70" customFormat="1" ht="15" hidden="1" customHeight="1" outlineLevel="2" x14ac:dyDescent="0.25">
      <c r="A72" s="25"/>
      <c r="B72" s="12" t="str">
        <f>CONCATENATE("          ","6372"," - ","COMPUTER HARDWARE MAINTENANCE")</f>
        <v xml:space="preserve">          6372 - COMPUTER HARDWARE MAINTENANCE</v>
      </c>
      <c r="C72" s="12"/>
      <c r="D72" s="8"/>
      <c r="E72" s="3"/>
      <c r="F72" s="7">
        <f t="shared" si="8"/>
        <v>0</v>
      </c>
      <c r="G72" s="3"/>
      <c r="H72" s="8">
        <v>3750</v>
      </c>
      <c r="I72" s="3"/>
      <c r="J72" s="7">
        <f t="shared" si="9"/>
        <v>0</v>
      </c>
      <c r="K72" s="3"/>
      <c r="L72" s="8">
        <f t="shared" si="10"/>
        <v>-3750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37870</v>
      </c>
      <c r="U72" s="3"/>
      <c r="V72" s="7">
        <f t="shared" si="13"/>
        <v>0</v>
      </c>
      <c r="W72" s="3"/>
      <c r="X72" s="8">
        <f t="shared" si="14"/>
        <v>-37870</v>
      </c>
      <c r="Y72" s="3"/>
      <c r="Z72" s="7">
        <f t="shared" si="15"/>
        <v>-1</v>
      </c>
    </row>
    <row r="73" spans="1:26" s="70" customFormat="1" ht="15" hidden="1" customHeight="1" outlineLevel="2" x14ac:dyDescent="0.25">
      <c r="A73" s="25"/>
      <c r="B73" s="12" t="str">
        <f>CONCATENATE("          ","6373"," - ","MAINTENANCE CONTRACTS")</f>
        <v xml:space="preserve">          6373 - MAINTENANCE CONTRACTS</v>
      </c>
      <c r="C73" s="12"/>
      <c r="D73" s="8">
        <v>332</v>
      </c>
      <c r="E73" s="3"/>
      <c r="F73" s="7">
        <f t="shared" si="8"/>
        <v>0</v>
      </c>
      <c r="G73" s="3"/>
      <c r="H73" s="8">
        <v>100</v>
      </c>
      <c r="I73" s="3"/>
      <c r="J73" s="7">
        <f t="shared" si="9"/>
        <v>0</v>
      </c>
      <c r="K73" s="3"/>
      <c r="L73" s="8">
        <f t="shared" si="10"/>
        <v>232</v>
      </c>
      <c r="M73" s="3"/>
      <c r="N73" s="7">
        <f t="shared" si="11"/>
        <v>2.3199999999999998</v>
      </c>
      <c r="O73" s="12"/>
      <c r="P73" s="8">
        <v>12252.1</v>
      </c>
      <c r="Q73" s="3"/>
      <c r="R73" s="7">
        <f t="shared" si="12"/>
        <v>0</v>
      </c>
      <c r="S73" s="3"/>
      <c r="T73" s="8">
        <v>17900</v>
      </c>
      <c r="U73" s="3"/>
      <c r="V73" s="7">
        <f t="shared" si="13"/>
        <v>0</v>
      </c>
      <c r="W73" s="3"/>
      <c r="X73" s="8">
        <f t="shared" si="14"/>
        <v>-5647.9</v>
      </c>
      <c r="Y73" s="3"/>
      <c r="Z73" s="7">
        <f t="shared" si="15"/>
        <v>-0.31552513966480444</v>
      </c>
    </row>
    <row r="74" spans="1:26" s="70" customFormat="1" ht="15" hidden="1" customHeight="1" outlineLevel="2" x14ac:dyDescent="0.25">
      <c r="A74" s="25"/>
      <c r="B74" s="12" t="str">
        <f>CONCATENATE("          ","6375"," - ","OUTSIDE REPAIRS &amp; MAINTENANCE")</f>
        <v xml:space="preserve">          6375 - OUTSIDE REPAIRS &amp; MAINTENANCE</v>
      </c>
      <c r="C74" s="12"/>
      <c r="D74" s="8">
        <v>2151.5500000000002</v>
      </c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2151.5500000000002</v>
      </c>
      <c r="M74" s="3"/>
      <c r="N74" s="7">
        <f t="shared" si="11"/>
        <v>0</v>
      </c>
      <c r="O74" s="12"/>
      <c r="P74" s="8">
        <v>29702.6</v>
      </c>
      <c r="Q74" s="3"/>
      <c r="R74" s="7">
        <f t="shared" si="12"/>
        <v>0</v>
      </c>
      <c r="S74" s="3"/>
      <c r="T74" s="8"/>
      <c r="U74" s="3"/>
      <c r="V74" s="7">
        <f t="shared" si="13"/>
        <v>0</v>
      </c>
      <c r="W74" s="3"/>
      <c r="X74" s="8">
        <f t="shared" si="14"/>
        <v>29702.6</v>
      </c>
      <c r="Y74" s="3"/>
      <c r="Z74" s="7">
        <f t="shared" si="15"/>
        <v>0</v>
      </c>
    </row>
    <row r="75" spans="1:26" s="69" customFormat="1" ht="15" customHeight="1" outlineLevel="1" collapsed="1" x14ac:dyDescent="0.25">
      <c r="A75" s="26"/>
      <c r="B75" s="14" t="str">
        <f>CONCATENATE("     ","Services                                          ")</f>
        <v xml:space="preserve">     Services                                          </v>
      </c>
      <c r="C75" s="14"/>
      <c r="D75" s="2">
        <f>SUM(OSRRefD22_16x_0)</f>
        <v>4610.62</v>
      </c>
      <c r="E75" s="2"/>
      <c r="F75" s="6">
        <f t="shared" si="8"/>
        <v>0</v>
      </c>
      <c r="G75" s="2"/>
      <c r="H75" s="2">
        <f>SUM(OSRRefH22_16x_0)</f>
        <v>4300</v>
      </c>
      <c r="I75" s="2"/>
      <c r="J75" s="6">
        <f t="shared" si="9"/>
        <v>0</v>
      </c>
      <c r="K75" s="2"/>
      <c r="L75" s="2">
        <f t="shared" si="10"/>
        <v>310.61999999999989</v>
      </c>
      <c r="M75" s="2"/>
      <c r="N75" s="6">
        <f t="shared" si="11"/>
        <v>7.223720930232555E-2</v>
      </c>
      <c r="O75" s="14"/>
      <c r="P75" s="2">
        <f>SUM(OSRRefP22_16x_0)</f>
        <v>55083.9</v>
      </c>
      <c r="Q75" s="2"/>
      <c r="R75" s="6">
        <f t="shared" si="12"/>
        <v>0</v>
      </c>
      <c r="S75" s="2"/>
      <c r="T75" s="2">
        <f>SUM(OSRRefT22_16x_0)</f>
        <v>47300</v>
      </c>
      <c r="U75" s="2"/>
      <c r="V75" s="6">
        <f t="shared" si="13"/>
        <v>0</v>
      </c>
      <c r="W75" s="2"/>
      <c r="X75" s="2">
        <f t="shared" si="14"/>
        <v>7783.9000000000015</v>
      </c>
      <c r="Y75" s="2"/>
      <c r="Z75" s="6">
        <f t="shared" si="15"/>
        <v>0.16456448202959834</v>
      </c>
    </row>
    <row r="76" spans="1:26" s="70" customFormat="1" ht="15" hidden="1" customHeight="1" outlineLevel="2" x14ac:dyDescent="0.25">
      <c r="A76" s="25"/>
      <c r="B76" s="12" t="str">
        <f>CONCATENATE("          ","6282"," - ","JANITORIAL/EXTERMINATOR EXPENS")</f>
        <v xml:space="preserve">          6282 - JANITORIAL/EXTERMINATOR EXPENS</v>
      </c>
      <c r="C76" s="12"/>
      <c r="D76" s="8">
        <v>167.05</v>
      </c>
      <c r="E76" s="3"/>
      <c r="F76" s="7">
        <f t="shared" si="8"/>
        <v>0</v>
      </c>
      <c r="G76" s="3"/>
      <c r="H76" s="8">
        <v>4300</v>
      </c>
      <c r="I76" s="3"/>
      <c r="J76" s="7">
        <f t="shared" si="9"/>
        <v>0</v>
      </c>
      <c r="K76" s="3"/>
      <c r="L76" s="8">
        <f t="shared" si="10"/>
        <v>-4132.95</v>
      </c>
      <c r="M76" s="3"/>
      <c r="N76" s="7">
        <f t="shared" si="11"/>
        <v>-0.96115116279069768</v>
      </c>
      <c r="O76" s="12"/>
      <c r="P76" s="8">
        <v>2224.73</v>
      </c>
      <c r="Q76" s="3"/>
      <c r="R76" s="7">
        <f t="shared" si="12"/>
        <v>0</v>
      </c>
      <c r="S76" s="3"/>
      <c r="T76" s="8">
        <v>47300</v>
      </c>
      <c r="U76" s="3"/>
      <c r="V76" s="7">
        <f t="shared" si="13"/>
        <v>0</v>
      </c>
      <c r="W76" s="3"/>
      <c r="X76" s="8">
        <f t="shared" si="14"/>
        <v>-45075.27</v>
      </c>
      <c r="Y76" s="3"/>
      <c r="Z76" s="7">
        <f t="shared" si="15"/>
        <v>-0.95296553911205062</v>
      </c>
    </row>
    <row r="77" spans="1:26" s="70" customFormat="1" ht="15" hidden="1" customHeight="1" outlineLevel="2" x14ac:dyDescent="0.25">
      <c r="A77" s="25"/>
      <c r="B77" s="12" t="str">
        <f>CONCATENATE("          ","6285"," - ","JANITORIAL SERVICES")</f>
        <v xml:space="preserve">          6285 - JANITORIAL SERVICES</v>
      </c>
      <c r="C77" s="12"/>
      <c r="D77" s="8">
        <v>4443.57</v>
      </c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4443.57</v>
      </c>
      <c r="M77" s="3"/>
      <c r="N77" s="7">
        <f t="shared" si="11"/>
        <v>0</v>
      </c>
      <c r="O77" s="12"/>
      <c r="P77" s="8">
        <v>52859.17</v>
      </c>
      <c r="Q77" s="3"/>
      <c r="R77" s="7">
        <f t="shared" si="12"/>
        <v>0</v>
      </c>
      <c r="S77" s="3"/>
      <c r="T77" s="8"/>
      <c r="U77" s="3"/>
      <c r="V77" s="7">
        <f t="shared" si="13"/>
        <v>0</v>
      </c>
      <c r="W77" s="3"/>
      <c r="X77" s="8">
        <f t="shared" si="14"/>
        <v>52859.17</v>
      </c>
      <c r="Y77" s="3"/>
      <c r="Z77" s="7">
        <f t="shared" si="15"/>
        <v>0</v>
      </c>
    </row>
    <row r="78" spans="1:26" s="69" customFormat="1" ht="15" customHeight="1" outlineLevel="1" collapsed="1" x14ac:dyDescent="0.25">
      <c r="A78" s="26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SUM(OSRRefD22_17x_0)</f>
        <v>700</v>
      </c>
      <c r="E78" s="2"/>
      <c r="F78" s="6">
        <f t="shared" si="8"/>
        <v>0</v>
      </c>
      <c r="G78" s="2"/>
      <c r="H78" s="2">
        <f>SUM(OSRRefH22_17x_0)</f>
        <v>0</v>
      </c>
      <c r="I78" s="2"/>
      <c r="J78" s="6">
        <f t="shared" si="9"/>
        <v>0</v>
      </c>
      <c r="K78" s="2"/>
      <c r="L78" s="2">
        <f t="shared" si="10"/>
        <v>700</v>
      </c>
      <c r="M78" s="2"/>
      <c r="N78" s="6">
        <f t="shared" si="11"/>
        <v>0</v>
      </c>
      <c r="O78" s="14"/>
      <c r="P78" s="2">
        <f>SUM(OSRRefP22_17x_0)</f>
        <v>580</v>
      </c>
      <c r="Q78" s="2"/>
      <c r="R78" s="6">
        <f t="shared" si="12"/>
        <v>0</v>
      </c>
      <c r="S78" s="2"/>
      <c r="T78" s="2">
        <f>SUM(OSRRefT22_17x_0)</f>
        <v>5000</v>
      </c>
      <c r="U78" s="2"/>
      <c r="V78" s="6">
        <f t="shared" si="13"/>
        <v>0</v>
      </c>
      <c r="W78" s="2"/>
      <c r="X78" s="2">
        <f t="shared" si="14"/>
        <v>-4420</v>
      </c>
      <c r="Y78" s="2"/>
      <c r="Z78" s="6">
        <f t="shared" si="15"/>
        <v>-0.88400000000000001</v>
      </c>
    </row>
    <row r="79" spans="1:26" s="70" customFormat="1" ht="15" hidden="1" customHeight="1" outlineLevel="2" x14ac:dyDescent="0.25">
      <c r="A79" s="25"/>
      <c r="B79" s="12" t="str">
        <f>CONCATENATE("          ","6258"," - ","MEMBERSHIP DUES")</f>
        <v xml:space="preserve">          6258 - MEMBERSHIP DUES</v>
      </c>
      <c r="C79" s="12"/>
      <c r="D79" s="8">
        <v>700</v>
      </c>
      <c r="E79" s="3"/>
      <c r="F79" s="7">
        <f t="shared" si="8"/>
        <v>0</v>
      </c>
      <c r="G79" s="3"/>
      <c r="H79" s="8"/>
      <c r="I79" s="3"/>
      <c r="J79" s="7">
        <f t="shared" si="9"/>
        <v>0</v>
      </c>
      <c r="K79" s="3"/>
      <c r="L79" s="8">
        <f t="shared" si="10"/>
        <v>700</v>
      </c>
      <c r="M79" s="3"/>
      <c r="N79" s="7">
        <f t="shared" si="11"/>
        <v>0</v>
      </c>
      <c r="O79" s="12"/>
      <c r="P79" s="8">
        <v>580</v>
      </c>
      <c r="Q79" s="3"/>
      <c r="R79" s="7">
        <f t="shared" si="12"/>
        <v>0</v>
      </c>
      <c r="S79" s="3"/>
      <c r="T79" s="8">
        <v>5000</v>
      </c>
      <c r="U79" s="3"/>
      <c r="V79" s="7">
        <f t="shared" si="13"/>
        <v>0</v>
      </c>
      <c r="W79" s="3"/>
      <c r="X79" s="8">
        <f t="shared" si="14"/>
        <v>-4420</v>
      </c>
      <c r="Y79" s="3"/>
      <c r="Z79" s="7">
        <f t="shared" si="15"/>
        <v>-0.88400000000000001</v>
      </c>
    </row>
    <row r="80" spans="1:26" s="69" customFormat="1" ht="15" customHeight="1" outlineLevel="1" collapsed="1" x14ac:dyDescent="0.25">
      <c r="A80" s="26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SUM(OSRRefD22_18x_0)</f>
        <v>4017.15</v>
      </c>
      <c r="E80" s="2"/>
      <c r="F80" s="6">
        <f t="shared" si="8"/>
        <v>0</v>
      </c>
      <c r="G80" s="2"/>
      <c r="H80" s="2">
        <f>SUM(OSRRefH22_18x_0)</f>
        <v>5500</v>
      </c>
      <c r="I80" s="2"/>
      <c r="J80" s="6">
        <f t="shared" si="9"/>
        <v>0</v>
      </c>
      <c r="K80" s="2"/>
      <c r="L80" s="2">
        <f t="shared" si="10"/>
        <v>-1482.85</v>
      </c>
      <c r="M80" s="2"/>
      <c r="N80" s="6">
        <f t="shared" si="11"/>
        <v>-0.26960909090909091</v>
      </c>
      <c r="O80" s="14"/>
      <c r="P80" s="2">
        <f>SUM(OSRRefP22_18x_0)</f>
        <v>44465.82</v>
      </c>
      <c r="Q80" s="2"/>
      <c r="R80" s="6">
        <f t="shared" si="12"/>
        <v>0</v>
      </c>
      <c r="S80" s="2"/>
      <c r="T80" s="2">
        <f>SUM(OSRRefT22_18x_0)</f>
        <v>59900</v>
      </c>
      <c r="U80" s="2"/>
      <c r="V80" s="6">
        <f t="shared" si="13"/>
        <v>0</v>
      </c>
      <c r="W80" s="2"/>
      <c r="X80" s="2">
        <f t="shared" si="14"/>
        <v>-15434.18</v>
      </c>
      <c r="Y80" s="2"/>
      <c r="Z80" s="6">
        <f t="shared" si="15"/>
        <v>-0.25766577629382303</v>
      </c>
    </row>
    <row r="81" spans="1:26" s="70" customFormat="1" ht="15" hidden="1" customHeight="1" outlineLevel="2" x14ac:dyDescent="0.25">
      <c r="A81" s="25"/>
      <c r="B81" s="12" t="str">
        <f>CONCATENATE("          ","6234"," - ","EXPENDABLE SUPPLIES &amp; EQUIPMEN")</f>
        <v xml:space="preserve">          6234 - EXPENDABLE SUPPLIES &amp; EQUIPMEN</v>
      </c>
      <c r="C81" s="12"/>
      <c r="D81" s="8"/>
      <c r="E81" s="3"/>
      <c r="F81" s="7">
        <f t="shared" si="8"/>
        <v>0</v>
      </c>
      <c r="G81" s="3"/>
      <c r="H81" s="8">
        <v>300</v>
      </c>
      <c r="I81" s="3"/>
      <c r="J81" s="7">
        <f t="shared" si="9"/>
        <v>0</v>
      </c>
      <c r="K81" s="3"/>
      <c r="L81" s="8">
        <f t="shared" si="10"/>
        <v>-300</v>
      </c>
      <c r="M81" s="3"/>
      <c r="N81" s="7">
        <f t="shared" si="11"/>
        <v>-1</v>
      </c>
      <c r="O81" s="12"/>
      <c r="P81" s="8">
        <v>3896.02</v>
      </c>
      <c r="Q81" s="3"/>
      <c r="R81" s="7">
        <f t="shared" si="12"/>
        <v>0</v>
      </c>
      <c r="S81" s="3"/>
      <c r="T81" s="8">
        <v>2700</v>
      </c>
      <c r="U81" s="3"/>
      <c r="V81" s="7">
        <f t="shared" si="13"/>
        <v>0</v>
      </c>
      <c r="W81" s="3"/>
      <c r="X81" s="8">
        <f t="shared" si="14"/>
        <v>1196.02</v>
      </c>
      <c r="Y81" s="3"/>
      <c r="Z81" s="7">
        <f t="shared" si="15"/>
        <v>0.44297037037037035</v>
      </c>
    </row>
    <row r="82" spans="1:26" s="70" customFormat="1" ht="15" hidden="1" customHeight="1" outlineLevel="2" x14ac:dyDescent="0.25">
      <c r="A82" s="25"/>
      <c r="B82" s="12" t="str">
        <f>CONCATENATE("          ","6235"," - ","COVID-19 EXPENSES")</f>
        <v xml:space="preserve">          6235 - COVID-19 EXPENSES</v>
      </c>
      <c r="C82" s="12"/>
      <c r="D82" s="8">
        <v>156</v>
      </c>
      <c r="E82" s="3"/>
      <c r="F82" s="7">
        <f t="shared" si="8"/>
        <v>0</v>
      </c>
      <c r="G82" s="3"/>
      <c r="H82" s="8">
        <v>100</v>
      </c>
      <c r="I82" s="3"/>
      <c r="J82" s="7">
        <f t="shared" si="9"/>
        <v>0</v>
      </c>
      <c r="K82" s="3"/>
      <c r="L82" s="8">
        <f t="shared" si="10"/>
        <v>56</v>
      </c>
      <c r="M82" s="3"/>
      <c r="N82" s="7">
        <f t="shared" si="11"/>
        <v>0.56000000000000005</v>
      </c>
      <c r="O82" s="12"/>
      <c r="P82" s="8">
        <v>3586.32</v>
      </c>
      <c r="Q82" s="3"/>
      <c r="R82" s="7">
        <f t="shared" si="12"/>
        <v>0</v>
      </c>
      <c r="S82" s="3"/>
      <c r="T82" s="8">
        <v>1100</v>
      </c>
      <c r="U82" s="3"/>
      <c r="V82" s="7">
        <f t="shared" si="13"/>
        <v>0</v>
      </c>
      <c r="W82" s="3"/>
      <c r="X82" s="8">
        <f t="shared" si="14"/>
        <v>2486.3200000000002</v>
      </c>
      <c r="Y82" s="3"/>
      <c r="Z82" s="7">
        <f t="shared" si="15"/>
        <v>2.2602909090909091</v>
      </c>
    </row>
    <row r="83" spans="1:26" s="70" customFormat="1" ht="15" hidden="1" customHeight="1" outlineLevel="2" x14ac:dyDescent="0.25">
      <c r="A83" s="25"/>
      <c r="B83" s="12" t="str">
        <f>CONCATENATE("          ","6237"," - ","JANITORIAL SUPPLIES")</f>
        <v xml:space="preserve">          6237 - JANITORIAL SUPPLIES</v>
      </c>
      <c r="C83" s="12"/>
      <c r="D83" s="8">
        <v>369.57</v>
      </c>
      <c r="E83" s="3"/>
      <c r="F83" s="7">
        <f t="shared" ref="F83:F96" si="16">IF(D$12=0,0,D83/D$12)</f>
        <v>0</v>
      </c>
      <c r="G83" s="3"/>
      <c r="H83" s="8"/>
      <c r="I83" s="3"/>
      <c r="J83" s="7">
        <f t="shared" ref="J83:J96" si="17">IF(H$12=0,0,H83/H$12)</f>
        <v>0</v>
      </c>
      <c r="K83" s="3"/>
      <c r="L83" s="8">
        <f t="shared" ref="L83:L96" si="18">+D83-H83</f>
        <v>369.57</v>
      </c>
      <c r="M83" s="3"/>
      <c r="N83" s="7">
        <f t="shared" ref="N83:N96" si="19">IF(H83=0,0,L83/H83)</f>
        <v>0</v>
      </c>
      <c r="O83" s="12"/>
      <c r="P83" s="8">
        <v>5795.46</v>
      </c>
      <c r="Q83" s="3"/>
      <c r="R83" s="7">
        <f t="shared" ref="R83:R96" si="20">IF(P$12=0,0,P83/P$12)</f>
        <v>0</v>
      </c>
      <c r="S83" s="3"/>
      <c r="T83" s="8"/>
      <c r="U83" s="3"/>
      <c r="V83" s="7">
        <f t="shared" ref="V83:V96" si="21">IF(T$12=0,0,T83/T$12)</f>
        <v>0</v>
      </c>
      <c r="W83" s="3"/>
      <c r="X83" s="8">
        <f t="shared" ref="X83:X96" si="22">+P83-T83</f>
        <v>5795.46</v>
      </c>
      <c r="Y83" s="3"/>
      <c r="Z83" s="7">
        <f t="shared" ref="Z83:Z96" si="23">IF(T83=0,0,X83/T83)</f>
        <v>0</v>
      </c>
    </row>
    <row r="84" spans="1:26" s="70" customFormat="1" ht="15" hidden="1" customHeight="1" outlineLevel="2" x14ac:dyDescent="0.25">
      <c r="A84" s="25"/>
      <c r="B84" s="12" t="str">
        <f>CONCATENATE("          ","6241"," - ","OFFICE EXPENSE")</f>
        <v xml:space="preserve">          6241 - OFFICE EXPENSE</v>
      </c>
      <c r="C84" s="12"/>
      <c r="D84" s="8">
        <v>42.32</v>
      </c>
      <c r="E84" s="3"/>
      <c r="F84" s="7">
        <f t="shared" si="16"/>
        <v>0</v>
      </c>
      <c r="G84" s="3"/>
      <c r="H84" s="8">
        <v>100</v>
      </c>
      <c r="I84" s="3"/>
      <c r="J84" s="7">
        <f t="shared" si="17"/>
        <v>0</v>
      </c>
      <c r="K84" s="3"/>
      <c r="L84" s="8">
        <f t="shared" si="18"/>
        <v>-57.68</v>
      </c>
      <c r="M84" s="3"/>
      <c r="N84" s="7">
        <f t="shared" si="19"/>
        <v>-0.57679999999999998</v>
      </c>
      <c r="O84" s="12"/>
      <c r="P84" s="8">
        <v>2066.25</v>
      </c>
      <c r="Q84" s="3"/>
      <c r="R84" s="7">
        <f t="shared" si="20"/>
        <v>0</v>
      </c>
      <c r="S84" s="3"/>
      <c r="T84" s="8">
        <v>1100</v>
      </c>
      <c r="U84" s="3"/>
      <c r="V84" s="7">
        <f t="shared" si="21"/>
        <v>0</v>
      </c>
      <c r="W84" s="3"/>
      <c r="X84" s="8">
        <f t="shared" si="22"/>
        <v>966.25</v>
      </c>
      <c r="Y84" s="3"/>
      <c r="Z84" s="7">
        <f t="shared" si="23"/>
        <v>0.87840909090909092</v>
      </c>
    </row>
    <row r="85" spans="1:26" s="70" customFormat="1" ht="15" hidden="1" customHeight="1" outlineLevel="2" x14ac:dyDescent="0.25">
      <c r="A85" s="25"/>
      <c r="B85" s="12" t="str">
        <f>CONCATENATE("          ","6245"," - ","PRINTING")</f>
        <v xml:space="preserve">          6245 - PRINTING</v>
      </c>
      <c r="C85" s="12"/>
      <c r="D85" s="8"/>
      <c r="E85" s="3"/>
      <c r="F85" s="7">
        <f t="shared" si="16"/>
        <v>0</v>
      </c>
      <c r="G85" s="3"/>
      <c r="H85" s="8"/>
      <c r="I85" s="3"/>
      <c r="J85" s="7">
        <f t="shared" si="17"/>
        <v>0</v>
      </c>
      <c r="K85" s="3"/>
      <c r="L85" s="8">
        <f t="shared" si="18"/>
        <v>0</v>
      </c>
      <c r="M85" s="3"/>
      <c r="N85" s="7">
        <f t="shared" si="19"/>
        <v>0</v>
      </c>
      <c r="O85" s="12"/>
      <c r="P85" s="8">
        <v>1618.44</v>
      </c>
      <c r="Q85" s="3"/>
      <c r="R85" s="7">
        <f t="shared" si="20"/>
        <v>0</v>
      </c>
      <c r="S85" s="3"/>
      <c r="T85" s="8"/>
      <c r="U85" s="3"/>
      <c r="V85" s="7">
        <f t="shared" si="21"/>
        <v>0</v>
      </c>
      <c r="W85" s="3"/>
      <c r="X85" s="8">
        <f t="shared" si="22"/>
        <v>1618.44</v>
      </c>
      <c r="Y85" s="3"/>
      <c r="Z85" s="7">
        <f t="shared" si="23"/>
        <v>0</v>
      </c>
    </row>
    <row r="86" spans="1:26" s="70" customFormat="1" ht="15" hidden="1" customHeight="1" outlineLevel="2" x14ac:dyDescent="0.25">
      <c r="A86" s="25"/>
      <c r="B86" s="12" t="str">
        <f>CONCATENATE("          ","6247"," - ","STORE SUPPLIES")</f>
        <v xml:space="preserve">          6247 - STORE SUPPLIES</v>
      </c>
      <c r="C86" s="12"/>
      <c r="D86" s="8">
        <v>3449.26</v>
      </c>
      <c r="E86" s="3"/>
      <c r="F86" s="7">
        <f t="shared" si="16"/>
        <v>0</v>
      </c>
      <c r="G86" s="3"/>
      <c r="H86" s="8">
        <v>5000</v>
      </c>
      <c r="I86" s="3"/>
      <c r="J86" s="7">
        <f t="shared" si="17"/>
        <v>0</v>
      </c>
      <c r="K86" s="3"/>
      <c r="L86" s="8">
        <f t="shared" si="18"/>
        <v>-1550.7399999999998</v>
      </c>
      <c r="M86" s="3"/>
      <c r="N86" s="7">
        <f t="shared" si="19"/>
        <v>-0.31014799999999998</v>
      </c>
      <c r="O86" s="12"/>
      <c r="P86" s="8">
        <v>27503.33</v>
      </c>
      <c r="Q86" s="3"/>
      <c r="R86" s="7">
        <f t="shared" si="20"/>
        <v>0</v>
      </c>
      <c r="S86" s="3"/>
      <c r="T86" s="8">
        <v>55000</v>
      </c>
      <c r="U86" s="3"/>
      <c r="V86" s="7">
        <f t="shared" si="21"/>
        <v>0</v>
      </c>
      <c r="W86" s="3"/>
      <c r="X86" s="8">
        <f t="shared" si="22"/>
        <v>-27496.67</v>
      </c>
      <c r="Y86" s="3"/>
      <c r="Z86" s="7">
        <f t="shared" si="23"/>
        <v>-0.49993945454545452</v>
      </c>
    </row>
    <row r="87" spans="1:26" s="69" customFormat="1" ht="15" customHeight="1" outlineLevel="1" collapsed="1" x14ac:dyDescent="0.25">
      <c r="A87" s="26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SUM(OSRRefD22_19x_0)</f>
        <v>424</v>
      </c>
      <c r="E87" s="2"/>
      <c r="F87" s="6">
        <f t="shared" si="16"/>
        <v>0</v>
      </c>
      <c r="G87" s="2"/>
      <c r="H87" s="2">
        <f>SUM(OSRRefH22_19x_0)</f>
        <v>600</v>
      </c>
      <c r="I87" s="2"/>
      <c r="J87" s="6">
        <f t="shared" si="17"/>
        <v>0</v>
      </c>
      <c r="K87" s="2"/>
      <c r="L87" s="2">
        <f t="shared" si="18"/>
        <v>-176</v>
      </c>
      <c r="M87" s="2"/>
      <c r="N87" s="6">
        <f t="shared" si="19"/>
        <v>-0.29333333333333333</v>
      </c>
      <c r="O87" s="14"/>
      <c r="P87" s="2">
        <f>SUM(OSRRefP22_19x_0)</f>
        <v>6481.12</v>
      </c>
      <c r="Q87" s="2"/>
      <c r="R87" s="6">
        <f t="shared" si="20"/>
        <v>0</v>
      </c>
      <c r="S87" s="2"/>
      <c r="T87" s="2">
        <f>SUM(OSRRefT22_19x_0)</f>
        <v>6600</v>
      </c>
      <c r="U87" s="2"/>
      <c r="V87" s="6">
        <f t="shared" si="21"/>
        <v>0</v>
      </c>
      <c r="W87" s="2"/>
      <c r="X87" s="2">
        <f t="shared" si="22"/>
        <v>-118.88000000000011</v>
      </c>
      <c r="Y87" s="2"/>
      <c r="Z87" s="6">
        <f t="shared" si="23"/>
        <v>-1.8012121212121229E-2</v>
      </c>
    </row>
    <row r="88" spans="1:26" s="70" customFormat="1" ht="15" hidden="1" customHeight="1" outlineLevel="2" x14ac:dyDescent="0.25">
      <c r="A88" s="25"/>
      <c r="B88" s="12" t="str">
        <f>CONCATENATE("          ","6309"," - ","TELEPHONE")</f>
        <v xml:space="preserve">          6309 - TELEPHONE</v>
      </c>
      <c r="C88" s="12"/>
      <c r="D88" s="8">
        <v>424</v>
      </c>
      <c r="E88" s="3"/>
      <c r="F88" s="7">
        <f t="shared" si="16"/>
        <v>0</v>
      </c>
      <c r="G88" s="3"/>
      <c r="H88" s="8">
        <v>600</v>
      </c>
      <c r="I88" s="3"/>
      <c r="J88" s="7">
        <f t="shared" si="17"/>
        <v>0</v>
      </c>
      <c r="K88" s="3"/>
      <c r="L88" s="8">
        <f t="shared" si="18"/>
        <v>-176</v>
      </c>
      <c r="M88" s="3"/>
      <c r="N88" s="7">
        <f t="shared" si="19"/>
        <v>-0.29333333333333333</v>
      </c>
      <c r="O88" s="12"/>
      <c r="P88" s="8">
        <v>6481.12</v>
      </c>
      <c r="Q88" s="3"/>
      <c r="R88" s="7">
        <f t="shared" si="20"/>
        <v>0</v>
      </c>
      <c r="S88" s="3"/>
      <c r="T88" s="8">
        <v>6600</v>
      </c>
      <c r="U88" s="3"/>
      <c r="V88" s="7">
        <f t="shared" si="21"/>
        <v>0</v>
      </c>
      <c r="W88" s="3"/>
      <c r="X88" s="8">
        <f t="shared" si="22"/>
        <v>-118.88000000000011</v>
      </c>
      <c r="Y88" s="3"/>
      <c r="Z88" s="7">
        <f t="shared" si="23"/>
        <v>-1.8012121212121229E-2</v>
      </c>
    </row>
    <row r="89" spans="1:26" s="69" customFormat="1" ht="15" customHeight="1" outlineLevel="1" collapsed="1" x14ac:dyDescent="0.25">
      <c r="A89" s="26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SUM(OSRRefD22_20x_0)</f>
        <v>5700</v>
      </c>
      <c r="E89" s="2"/>
      <c r="F89" s="6">
        <f t="shared" si="16"/>
        <v>0</v>
      </c>
      <c r="G89" s="2"/>
      <c r="H89" s="2">
        <f>SUM(OSRRefH22_20x_0)</f>
        <v>0</v>
      </c>
      <c r="I89" s="2"/>
      <c r="J89" s="6">
        <f t="shared" si="17"/>
        <v>0</v>
      </c>
      <c r="K89" s="2"/>
      <c r="L89" s="2">
        <f t="shared" si="18"/>
        <v>5700</v>
      </c>
      <c r="M89" s="2"/>
      <c r="N89" s="6">
        <f t="shared" si="19"/>
        <v>0</v>
      </c>
      <c r="O89" s="14"/>
      <c r="P89" s="2">
        <f>SUM(OSRRefP22_20x_0)</f>
        <v>6494</v>
      </c>
      <c r="Q89" s="2"/>
      <c r="R89" s="6">
        <f t="shared" si="20"/>
        <v>0</v>
      </c>
      <c r="S89" s="2"/>
      <c r="T89" s="2">
        <f>SUM(OSRRefT22_20x_0)</f>
        <v>2000</v>
      </c>
      <c r="U89" s="2"/>
      <c r="V89" s="6">
        <f t="shared" si="21"/>
        <v>0</v>
      </c>
      <c r="W89" s="2"/>
      <c r="X89" s="2">
        <f t="shared" si="22"/>
        <v>4494</v>
      </c>
      <c r="Y89" s="2"/>
      <c r="Z89" s="6">
        <f t="shared" si="23"/>
        <v>2.2469999999999999</v>
      </c>
    </row>
    <row r="90" spans="1:26" s="70" customFormat="1" ht="15" hidden="1" customHeight="1" outlineLevel="2" x14ac:dyDescent="0.25">
      <c r="A90" s="25"/>
      <c r="B90" s="12" t="str">
        <f>CONCATENATE("          ","6376"," - ","TRAINING")</f>
        <v xml:space="preserve">          6376 - TRAINING</v>
      </c>
      <c r="C90" s="12"/>
      <c r="D90" s="8">
        <v>5700</v>
      </c>
      <c r="E90" s="3"/>
      <c r="F90" s="7">
        <f t="shared" si="16"/>
        <v>0</v>
      </c>
      <c r="G90" s="3"/>
      <c r="H90" s="8"/>
      <c r="I90" s="3"/>
      <c r="J90" s="7">
        <f t="shared" si="17"/>
        <v>0</v>
      </c>
      <c r="K90" s="3"/>
      <c r="L90" s="8">
        <f t="shared" si="18"/>
        <v>5700</v>
      </c>
      <c r="M90" s="3"/>
      <c r="N90" s="7">
        <f t="shared" si="19"/>
        <v>0</v>
      </c>
      <c r="O90" s="12"/>
      <c r="P90" s="8">
        <v>6494</v>
      </c>
      <c r="Q90" s="3"/>
      <c r="R90" s="7">
        <f t="shared" si="20"/>
        <v>0</v>
      </c>
      <c r="S90" s="3"/>
      <c r="T90" s="8">
        <v>2000</v>
      </c>
      <c r="U90" s="3"/>
      <c r="V90" s="7">
        <f t="shared" si="21"/>
        <v>0</v>
      </c>
      <c r="W90" s="3"/>
      <c r="X90" s="8">
        <f t="shared" si="22"/>
        <v>4494</v>
      </c>
      <c r="Y90" s="3"/>
      <c r="Z90" s="7">
        <f t="shared" si="23"/>
        <v>2.2469999999999999</v>
      </c>
    </row>
    <row r="91" spans="1:26" s="69" customFormat="1" ht="15" customHeight="1" outlineLevel="1" collapsed="1" x14ac:dyDescent="0.25">
      <c r="A91" s="26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SUM(OSRRefD22_21x_0)</f>
        <v>133.12</v>
      </c>
      <c r="E91" s="2"/>
      <c r="F91" s="6">
        <f t="shared" si="16"/>
        <v>0</v>
      </c>
      <c r="G91" s="2"/>
      <c r="H91" s="2">
        <f>SUM(OSRRefH22_21x_0)</f>
        <v>125</v>
      </c>
      <c r="I91" s="2"/>
      <c r="J91" s="6">
        <f t="shared" si="17"/>
        <v>0</v>
      </c>
      <c r="K91" s="2"/>
      <c r="L91" s="2">
        <f t="shared" si="18"/>
        <v>8.1200000000000045</v>
      </c>
      <c r="M91" s="2"/>
      <c r="N91" s="6">
        <f t="shared" si="19"/>
        <v>6.4960000000000032E-2</v>
      </c>
      <c r="O91" s="14"/>
      <c r="P91" s="2">
        <f>SUM(OSRRefP22_21x_0)</f>
        <v>1014.62</v>
      </c>
      <c r="Q91" s="2"/>
      <c r="R91" s="6">
        <f t="shared" si="20"/>
        <v>0</v>
      </c>
      <c r="S91" s="2"/>
      <c r="T91" s="2">
        <f>SUM(OSRRefT22_21x_0)</f>
        <v>1375</v>
      </c>
      <c r="U91" s="2"/>
      <c r="V91" s="6">
        <f t="shared" si="21"/>
        <v>0</v>
      </c>
      <c r="W91" s="2"/>
      <c r="X91" s="2">
        <f t="shared" si="22"/>
        <v>-360.38</v>
      </c>
      <c r="Y91" s="2"/>
      <c r="Z91" s="6">
        <f t="shared" si="23"/>
        <v>-0.26209454545454547</v>
      </c>
    </row>
    <row r="92" spans="1:26" s="70" customFormat="1" ht="15" hidden="1" customHeight="1" outlineLevel="2" x14ac:dyDescent="0.25">
      <c r="A92" s="25"/>
      <c r="B92" s="12" t="str">
        <f>CONCATENATE("          ","6292"," - ","TRAVEL/CONFERENCE")</f>
        <v xml:space="preserve">          6292 - TRAVEL/CONFERENCE</v>
      </c>
      <c r="C92" s="12"/>
      <c r="D92" s="8"/>
      <c r="E92" s="3"/>
      <c r="F92" s="7">
        <f t="shared" si="16"/>
        <v>0</v>
      </c>
      <c r="G92" s="3"/>
      <c r="H92" s="8">
        <v>125</v>
      </c>
      <c r="I92" s="3"/>
      <c r="J92" s="7">
        <f t="shared" si="17"/>
        <v>0</v>
      </c>
      <c r="K92" s="3"/>
      <c r="L92" s="8">
        <f t="shared" si="18"/>
        <v>-125</v>
      </c>
      <c r="M92" s="3"/>
      <c r="N92" s="7">
        <f t="shared" si="19"/>
        <v>-1</v>
      </c>
      <c r="O92" s="12"/>
      <c r="P92" s="8">
        <v>495</v>
      </c>
      <c r="Q92" s="3"/>
      <c r="R92" s="7">
        <f t="shared" si="20"/>
        <v>0</v>
      </c>
      <c r="S92" s="3"/>
      <c r="T92" s="8">
        <v>1375</v>
      </c>
      <c r="U92" s="3"/>
      <c r="V92" s="7">
        <f t="shared" si="21"/>
        <v>0</v>
      </c>
      <c r="W92" s="3"/>
      <c r="X92" s="8">
        <f t="shared" si="22"/>
        <v>-880</v>
      </c>
      <c r="Y92" s="3"/>
      <c r="Z92" s="7">
        <f t="shared" si="23"/>
        <v>-0.64</v>
      </c>
    </row>
    <row r="93" spans="1:26" s="70" customFormat="1" ht="15" hidden="1" customHeight="1" outlineLevel="2" x14ac:dyDescent="0.25">
      <c r="A93" s="25"/>
      <c r="B93" s="12" t="str">
        <f>CONCATENATE("          ","6294"," - ","TRAVEL OPERATIONAL")</f>
        <v xml:space="preserve">          6294 - TRAVEL OPERATIONAL</v>
      </c>
      <c r="C93" s="12"/>
      <c r="D93" s="8">
        <v>20.239999999999998</v>
      </c>
      <c r="E93" s="3"/>
      <c r="F93" s="7">
        <f t="shared" si="16"/>
        <v>0</v>
      </c>
      <c r="G93" s="3"/>
      <c r="H93" s="8"/>
      <c r="I93" s="3"/>
      <c r="J93" s="7">
        <f t="shared" si="17"/>
        <v>0</v>
      </c>
      <c r="K93" s="3"/>
      <c r="L93" s="8">
        <f t="shared" si="18"/>
        <v>20.239999999999998</v>
      </c>
      <c r="M93" s="3"/>
      <c r="N93" s="7">
        <f t="shared" si="19"/>
        <v>0</v>
      </c>
      <c r="O93" s="12"/>
      <c r="P93" s="8">
        <v>20.239999999999998</v>
      </c>
      <c r="Q93" s="3"/>
      <c r="R93" s="7">
        <f t="shared" si="20"/>
        <v>0</v>
      </c>
      <c r="S93" s="3"/>
      <c r="T93" s="8"/>
      <c r="U93" s="3"/>
      <c r="V93" s="7">
        <f t="shared" si="21"/>
        <v>0</v>
      </c>
      <c r="W93" s="3"/>
      <c r="X93" s="8">
        <f t="shared" si="22"/>
        <v>20.239999999999998</v>
      </c>
      <c r="Y93" s="3"/>
      <c r="Z93" s="7">
        <f t="shared" si="23"/>
        <v>0</v>
      </c>
    </row>
    <row r="94" spans="1:26" s="70" customFormat="1" ht="15" hidden="1" customHeight="1" outlineLevel="2" x14ac:dyDescent="0.25">
      <c r="A94" s="25"/>
      <c r="B94" s="12" t="str">
        <f>CONCATENATE("          ","6298"," - ","VEHICLE MILEAGE")</f>
        <v xml:space="preserve">          6298 - VEHICLE MILEAGE</v>
      </c>
      <c r="C94" s="12"/>
      <c r="D94" s="8">
        <v>112.88</v>
      </c>
      <c r="E94" s="3"/>
      <c r="F94" s="7">
        <f t="shared" si="16"/>
        <v>0</v>
      </c>
      <c r="G94" s="3"/>
      <c r="H94" s="8"/>
      <c r="I94" s="3"/>
      <c r="J94" s="7">
        <f t="shared" si="17"/>
        <v>0</v>
      </c>
      <c r="K94" s="3"/>
      <c r="L94" s="8">
        <f t="shared" si="18"/>
        <v>112.88</v>
      </c>
      <c r="M94" s="3"/>
      <c r="N94" s="7">
        <f t="shared" si="19"/>
        <v>0</v>
      </c>
      <c r="O94" s="12"/>
      <c r="P94" s="8">
        <v>499.38</v>
      </c>
      <c r="Q94" s="3"/>
      <c r="R94" s="7">
        <f t="shared" si="20"/>
        <v>0</v>
      </c>
      <c r="S94" s="3"/>
      <c r="T94" s="8"/>
      <c r="U94" s="3"/>
      <c r="V94" s="7">
        <f t="shared" si="21"/>
        <v>0</v>
      </c>
      <c r="W94" s="3"/>
      <c r="X94" s="8">
        <f t="shared" si="22"/>
        <v>499.38</v>
      </c>
      <c r="Y94" s="3"/>
      <c r="Z94" s="7">
        <f t="shared" si="23"/>
        <v>0</v>
      </c>
    </row>
    <row r="95" spans="1:26" s="69" customFormat="1" ht="15" customHeight="1" outlineLevel="1" collapsed="1" x14ac:dyDescent="0.25">
      <c r="A95" s="26"/>
      <c r="B95" s="14" t="str">
        <f>CONCATENATE("     ","Utilities                                         ")</f>
        <v xml:space="preserve">     Utilities                                         </v>
      </c>
      <c r="C95" s="14"/>
      <c r="D95" s="2">
        <f>SUM(OSRRefD22_22x_0)</f>
        <v>29699</v>
      </c>
      <c r="E95" s="2"/>
      <c r="F95" s="6">
        <f t="shared" si="16"/>
        <v>0</v>
      </c>
      <c r="G95" s="2"/>
      <c r="H95" s="2">
        <f>SUM(OSRRefH22_22x_0)</f>
        <v>6000</v>
      </c>
      <c r="I95" s="2"/>
      <c r="J95" s="6">
        <f t="shared" si="17"/>
        <v>0</v>
      </c>
      <c r="K95" s="2"/>
      <c r="L95" s="2">
        <f t="shared" si="18"/>
        <v>23699</v>
      </c>
      <c r="M95" s="2"/>
      <c r="N95" s="6">
        <f t="shared" si="19"/>
        <v>3.9498333333333333</v>
      </c>
      <c r="O95" s="14"/>
      <c r="P95" s="2">
        <f>SUM(OSRRefP22_22x_0)</f>
        <v>83699</v>
      </c>
      <c r="Q95" s="2"/>
      <c r="R95" s="6">
        <f t="shared" si="20"/>
        <v>0</v>
      </c>
      <c r="S95" s="2"/>
      <c r="T95" s="2">
        <f>SUM(OSRRefT22_22x_0)</f>
        <v>66000</v>
      </c>
      <c r="U95" s="2"/>
      <c r="V95" s="6">
        <f t="shared" si="21"/>
        <v>0</v>
      </c>
      <c r="W95" s="2"/>
      <c r="X95" s="2">
        <f t="shared" si="22"/>
        <v>17699</v>
      </c>
      <c r="Y95" s="2"/>
      <c r="Z95" s="6">
        <f t="shared" si="23"/>
        <v>0.26816666666666666</v>
      </c>
    </row>
    <row r="96" spans="1:26" s="70" customFormat="1" ht="15" hidden="1" customHeight="1" outlineLevel="2" x14ac:dyDescent="0.25">
      <c r="A96" s="25"/>
      <c r="B96" s="12" t="str">
        <f>CONCATENATE("          ","6274"," - ","UTILITIES")</f>
        <v xml:space="preserve">          6274 - UTILITIES</v>
      </c>
      <c r="C96" s="12"/>
      <c r="D96" s="8">
        <v>29699</v>
      </c>
      <c r="E96" s="3"/>
      <c r="F96" s="7">
        <f t="shared" si="16"/>
        <v>0</v>
      </c>
      <c r="G96" s="3"/>
      <c r="H96" s="8">
        <v>6000</v>
      </c>
      <c r="I96" s="3"/>
      <c r="J96" s="7">
        <f t="shared" si="17"/>
        <v>0</v>
      </c>
      <c r="K96" s="3"/>
      <c r="L96" s="8">
        <f t="shared" si="18"/>
        <v>23699</v>
      </c>
      <c r="M96" s="3"/>
      <c r="N96" s="7">
        <f t="shared" si="19"/>
        <v>3.9498333333333333</v>
      </c>
      <c r="O96" s="12"/>
      <c r="P96" s="8">
        <v>83699</v>
      </c>
      <c r="Q96" s="3"/>
      <c r="R96" s="7">
        <f t="shared" si="20"/>
        <v>0</v>
      </c>
      <c r="S96" s="3"/>
      <c r="T96" s="8">
        <v>66000</v>
      </c>
      <c r="U96" s="3"/>
      <c r="V96" s="7">
        <f t="shared" si="21"/>
        <v>0</v>
      </c>
      <c r="W96" s="3"/>
      <c r="X96" s="8">
        <f t="shared" si="22"/>
        <v>17699</v>
      </c>
      <c r="Y96" s="3"/>
      <c r="Z96" s="7">
        <f t="shared" si="23"/>
        <v>0.26816666666666666</v>
      </c>
    </row>
    <row r="97" spans="1:26" s="65" customFormat="1" ht="15" customHeight="1" x14ac:dyDescent="0.25">
      <c r="A97" s="35"/>
      <c r="B97" s="35"/>
      <c r="C97" s="35"/>
      <c r="D97" s="2"/>
      <c r="E97" s="2"/>
      <c r="F97" s="6"/>
      <c r="G97" s="2"/>
      <c r="H97" s="2"/>
      <c r="I97" s="2"/>
      <c r="J97" s="6"/>
      <c r="K97" s="2"/>
      <c r="L97" s="2"/>
      <c r="M97" s="2"/>
      <c r="N97" s="6"/>
      <c r="O97" s="35"/>
      <c r="P97" s="2"/>
      <c r="Q97" s="2"/>
      <c r="R97" s="6"/>
      <c r="S97" s="2"/>
      <c r="T97" s="2"/>
      <c r="U97" s="2"/>
      <c r="V97" s="6"/>
      <c r="W97" s="2"/>
      <c r="X97" s="2"/>
      <c r="Y97" s="2"/>
      <c r="Z97" s="6"/>
    </row>
    <row r="98" spans="1:26" s="63" customFormat="1" ht="15" customHeight="1" collapsed="1" x14ac:dyDescent="0.25">
      <c r="A98" s="11"/>
      <c r="B98" s="27" t="s">
        <v>291</v>
      </c>
      <c r="C98" s="11"/>
      <c r="D98" s="5">
        <f>SUM(OSRRefD25x_0)</f>
        <v>52934</v>
      </c>
      <c r="E98" s="5"/>
      <c r="F98" s="13">
        <f>IF(D$12=0,0,D98/D$12)</f>
        <v>0</v>
      </c>
      <c r="G98" s="5"/>
      <c r="H98" s="5">
        <f>SUM(OSRRefH25x_0)</f>
        <v>46300</v>
      </c>
      <c r="I98" s="5"/>
      <c r="J98" s="13">
        <f>IF(H$12=0,0,H98/H$12)</f>
        <v>0</v>
      </c>
      <c r="K98" s="5"/>
      <c r="L98" s="5">
        <f>+D98-H98</f>
        <v>6634</v>
      </c>
      <c r="M98" s="5"/>
      <c r="N98" s="13">
        <f>IF(H98=0,0,L98/H98)</f>
        <v>0.1432829373650108</v>
      </c>
      <c r="O98" s="11"/>
      <c r="P98" s="5">
        <f>SUM(OSRRefP25x_0)</f>
        <v>275854.26</v>
      </c>
      <c r="Q98" s="5"/>
      <c r="R98" s="13">
        <f>IF(P$12=0,0,P98/P$12)</f>
        <v>0</v>
      </c>
      <c r="S98" s="5"/>
      <c r="T98" s="5">
        <f>SUM(OSRRefT25x_0)</f>
        <v>195700</v>
      </c>
      <c r="U98" s="5"/>
      <c r="V98" s="13">
        <f>IF(T$12=0,0,T98/T$12)</f>
        <v>0</v>
      </c>
      <c r="W98" s="5"/>
      <c r="X98" s="5">
        <f>+P98-T98</f>
        <v>80154.260000000009</v>
      </c>
      <c r="Y98" s="5"/>
      <c r="Z98" s="13">
        <f>IF(T98=0,0,X98/T98)</f>
        <v>0.40957721001532965</v>
      </c>
    </row>
    <row r="99" spans="1:26" s="70" customFormat="1" ht="15" hidden="1" customHeight="1" outlineLevel="1" x14ac:dyDescent="0.25">
      <c r="A99" s="42"/>
      <c r="B99" s="12" t="str">
        <f>CONCATENATE("          ","9150"," - ","MISC. INCOME")</f>
        <v xml:space="preserve">          9150 - MISC. INCOME</v>
      </c>
      <c r="C99" s="12"/>
      <c r="D99" s="3">
        <f>--52934</f>
        <v>52934</v>
      </c>
      <c r="E99" s="3"/>
      <c r="F99" s="20">
        <f>IF(D$12=0,0,D99/D$12)</f>
        <v>0</v>
      </c>
      <c r="G99" s="3"/>
      <c r="H99" s="3">
        <v>3300</v>
      </c>
      <c r="I99" s="3"/>
      <c r="J99" s="20">
        <f>IF(H$12=0,0,H99/H$12)</f>
        <v>0</v>
      </c>
      <c r="K99" s="3"/>
      <c r="L99" s="3">
        <f>+D99-H99</f>
        <v>49634</v>
      </c>
      <c r="M99" s="3"/>
      <c r="N99" s="20">
        <f>IF(H99=0,0,L99/H99)</f>
        <v>15.040606060606061</v>
      </c>
      <c r="O99" s="12"/>
      <c r="P99" s="3">
        <f>--275854.26</f>
        <v>275854.26</v>
      </c>
      <c r="Q99" s="3"/>
      <c r="R99" s="20">
        <f>IF(P$12=0,0,P99/P$12)</f>
        <v>0</v>
      </c>
      <c r="S99" s="3"/>
      <c r="T99" s="3">
        <v>23700</v>
      </c>
      <c r="U99" s="3"/>
      <c r="V99" s="20">
        <f>IF(T$12=0,0,T99/T$12)</f>
        <v>0</v>
      </c>
      <c r="W99" s="3"/>
      <c r="X99" s="3">
        <f>+P99-T99</f>
        <v>252154.26</v>
      </c>
      <c r="Y99" s="3"/>
      <c r="Z99" s="20">
        <f>IF(T99=0,0,X99/T99)</f>
        <v>10.639420253164557</v>
      </c>
    </row>
    <row r="100" spans="1:26" s="70" customFormat="1" ht="15" hidden="1" customHeight="1" outlineLevel="1" x14ac:dyDescent="0.25">
      <c r="A100" s="42"/>
      <c r="B100" s="12" t="str">
        <f>CONCATENATE("          ","9151"," - ","MISC. INCOME")</f>
        <v xml:space="preserve">          9151 - MISC. INCOME</v>
      </c>
      <c r="C100" s="12"/>
      <c r="D100" s="3">
        <f>0</f>
        <v>0</v>
      </c>
      <c r="E100" s="3"/>
      <c r="F100" s="20">
        <f>IF(D$12=0,0,D100/D$12)</f>
        <v>0</v>
      </c>
      <c r="G100" s="3"/>
      <c r="H100" s="3">
        <v>43000</v>
      </c>
      <c r="I100" s="3"/>
      <c r="J100" s="20">
        <f>IF(H$12=0,0,H100/H$12)</f>
        <v>0</v>
      </c>
      <c r="K100" s="3"/>
      <c r="L100" s="3">
        <f>+D100-H100</f>
        <v>-43000</v>
      </c>
      <c r="M100" s="3"/>
      <c r="N100" s="20">
        <f>IF(H100=0,0,L100/H100)</f>
        <v>-1</v>
      </c>
      <c r="O100" s="12"/>
      <c r="P100" s="3">
        <f>0</f>
        <v>0</v>
      </c>
      <c r="Q100" s="3"/>
      <c r="R100" s="20">
        <f>IF(P$12=0,0,P100/P$12)</f>
        <v>0</v>
      </c>
      <c r="S100" s="3"/>
      <c r="T100" s="3">
        <v>172000</v>
      </c>
      <c r="U100" s="3"/>
      <c r="V100" s="20">
        <f>IF(T$12=0,0,T100/T$12)</f>
        <v>0</v>
      </c>
      <c r="W100" s="3"/>
      <c r="X100" s="3">
        <f>+P100-T100</f>
        <v>-172000</v>
      </c>
      <c r="Y100" s="3"/>
      <c r="Z100" s="20">
        <f>IF(T100=0,0,X100/T100)</f>
        <v>-1</v>
      </c>
    </row>
    <row r="101" spans="1:26" ht="15" customHeight="1" x14ac:dyDescent="0.25">
      <c r="A101" s="10"/>
      <c r="B101" s="11"/>
      <c r="C101" s="11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O101" s="11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25">
      <c r="A102" s="11"/>
      <c r="B102" s="28" t="s">
        <v>292</v>
      </c>
      <c r="C102" s="28"/>
      <c r="D102" s="22">
        <f>+D17-D19+D98</f>
        <v>-91646.890000000043</v>
      </c>
      <c r="E102" s="15"/>
      <c r="F102" s="21">
        <f>IF(D$12=0,0,D102/D$12)</f>
        <v>0</v>
      </c>
      <c r="G102" s="15"/>
      <c r="H102" s="22">
        <f>+H17-H19+H98</f>
        <v>-49874.098725757678</v>
      </c>
      <c r="I102" s="15"/>
      <c r="J102" s="21">
        <f>IF(H$12=0,0,H102/H$12)</f>
        <v>0</v>
      </c>
      <c r="K102" s="16"/>
      <c r="L102" s="22">
        <f>+D102-H102</f>
        <v>-41772.791274242365</v>
      </c>
      <c r="M102" s="16"/>
      <c r="N102" s="21">
        <f>IF(H102=0,0,L102/H102)</f>
        <v>0.83756483508480206</v>
      </c>
      <c r="O102" s="27"/>
      <c r="P102" s="22">
        <f>+P17-P19+P98</f>
        <v>-1288250.1400000001</v>
      </c>
      <c r="Q102" s="15"/>
      <c r="R102" s="21">
        <f>IF(P$12=0,0,P102/P$12)</f>
        <v>0</v>
      </c>
      <c r="S102" s="15"/>
      <c r="T102" s="22">
        <f>+T17-T19+T98</f>
        <v>-1218361.7584810425</v>
      </c>
      <c r="U102" s="15"/>
      <c r="V102" s="21">
        <f>IF(T$12=0,0,T102/T$12)</f>
        <v>0</v>
      </c>
      <c r="W102" s="16"/>
      <c r="X102" s="22">
        <f>+P102-T102</f>
        <v>-69888.381518957671</v>
      </c>
      <c r="Y102" s="16"/>
      <c r="Z102" s="21">
        <f>IF(T102=0,0,X102/T102)</f>
        <v>5.7362586302847358E-2</v>
      </c>
    </row>
    <row r="103" spans="1:26" ht="15" customHeight="1" x14ac:dyDescent="0.25">
      <c r="A103" s="10"/>
      <c r="B103" s="11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25">
      <c r="A104" s="49"/>
      <c r="B104" s="11" t="s">
        <v>293</v>
      </c>
      <c r="C104" s="11"/>
      <c r="D104" s="5"/>
      <c r="E104" s="5"/>
      <c r="F104" s="13">
        <f>IF(D$12=0,0,D104/D$12)</f>
        <v>0</v>
      </c>
      <c r="G104" s="5"/>
      <c r="H104" s="5"/>
      <c r="I104" s="5"/>
      <c r="J104" s="13">
        <f>IF(H$12=0,0,H104/H$12)</f>
        <v>0</v>
      </c>
      <c r="K104" s="5"/>
      <c r="L104" s="5">
        <f>+D104-H104</f>
        <v>0</v>
      </c>
      <c r="M104" s="5"/>
      <c r="N104" s="13">
        <f>IF(H104=0,0,L104/H104)</f>
        <v>0</v>
      </c>
      <c r="O104" s="11"/>
      <c r="P104" s="5"/>
      <c r="Q104" s="5"/>
      <c r="R104" s="13">
        <f>IF(P$12=0,0,P104/P$12)</f>
        <v>0</v>
      </c>
      <c r="S104" s="5"/>
      <c r="T104" s="5"/>
      <c r="U104" s="5"/>
      <c r="V104" s="13">
        <f>IF(T$12=0,0,T104/T$12)</f>
        <v>0</v>
      </c>
      <c r="W104" s="5"/>
      <c r="X104" s="5">
        <f>+P104-T104</f>
        <v>0</v>
      </c>
      <c r="Y104" s="5"/>
      <c r="Z104" s="13">
        <f>IF(T104=0,0,X104/T104)</f>
        <v>0</v>
      </c>
    </row>
    <row r="105" spans="1:26" ht="15" customHeight="1" x14ac:dyDescent="0.25">
      <c r="A105" s="10"/>
      <c r="B105" s="11"/>
      <c r="C105" s="11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O105" s="11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3" customFormat="1" ht="15" customHeight="1" x14ac:dyDescent="0.25">
      <c r="A106" s="11"/>
      <c r="B106" s="28" t="s">
        <v>294</v>
      </c>
      <c r="C106" s="28"/>
      <c r="D106" s="34">
        <f>+D102-D104</f>
        <v>-91646.890000000043</v>
      </c>
      <c r="E106" s="15"/>
      <c r="F106" s="32">
        <f>IF(D$12=0,0,D106/D$12)</f>
        <v>0</v>
      </c>
      <c r="G106" s="15"/>
      <c r="H106" s="34">
        <f>+H102-H104</f>
        <v>-49874.098725757678</v>
      </c>
      <c r="I106" s="15"/>
      <c r="J106" s="32">
        <f>IF(H$12=0,0,H106/H$12)</f>
        <v>0</v>
      </c>
      <c r="K106" s="16"/>
      <c r="L106" s="34">
        <f>D106-H106</f>
        <v>-41772.791274242365</v>
      </c>
      <c r="M106" s="16"/>
      <c r="N106" s="32">
        <f>IF(H106=0,0,L106/H106)</f>
        <v>0.83756483508480206</v>
      </c>
      <c r="O106" s="27"/>
      <c r="P106" s="34">
        <f>+P102-P104</f>
        <v>-1288250.1400000001</v>
      </c>
      <c r="Q106" s="15"/>
      <c r="R106" s="32">
        <f>IF(P$12=0,0,P106/P$12)</f>
        <v>0</v>
      </c>
      <c r="S106" s="15"/>
      <c r="T106" s="34">
        <f>+T102-T104</f>
        <v>-1218361.7584810425</v>
      </c>
      <c r="U106" s="15"/>
      <c r="V106" s="32">
        <f>IF(T$12=0,0,T106/T$12)</f>
        <v>0</v>
      </c>
      <c r="W106" s="16"/>
      <c r="X106" s="34">
        <f>P106-T106</f>
        <v>-69888.381518957671</v>
      </c>
      <c r="Y106" s="16"/>
      <c r="Z106" s="32">
        <f>IF(T106=0,0,X106/T106)</f>
        <v>5.7362586302847358E-2</v>
      </c>
    </row>
    <row r="107" spans="1:26" ht="15" customHeight="1" x14ac:dyDescent="0.25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ht="15" customHeight="1" x14ac:dyDescent="0.25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s="63" customFormat="1" ht="15" customHeight="1" x14ac:dyDescent="0.25">
      <c r="A109" s="11"/>
      <c r="B109" s="28" t="s">
        <v>297</v>
      </c>
      <c r="C109" s="28"/>
      <c r="D109" s="30">
        <f>SUM(D106:D108)</f>
        <v>-91646.890000000043</v>
      </c>
      <c r="E109" s="15"/>
      <c r="F109" s="33">
        <f>IF(D$12=0,0,D109/D$12)</f>
        <v>0</v>
      </c>
      <c r="G109" s="15"/>
      <c r="H109" s="30">
        <f>SUM(H106:H108)</f>
        <v>-49874.098725757678</v>
      </c>
      <c r="I109" s="15"/>
      <c r="J109" s="33">
        <f>IF(H$12=0,0,H109/H$12)</f>
        <v>0</v>
      </c>
      <c r="K109" s="16"/>
      <c r="L109" s="30">
        <f>+D109-H109</f>
        <v>-41772.791274242365</v>
      </c>
      <c r="M109" s="16"/>
      <c r="N109" s="33">
        <f>IF(H109=0,0,L109/H109)</f>
        <v>0.83756483508480206</v>
      </c>
      <c r="O109" s="27"/>
      <c r="P109" s="30">
        <f>SUM(P106:P108)</f>
        <v>-1288250.1400000001</v>
      </c>
      <c r="Q109" s="15"/>
      <c r="R109" s="33">
        <f>IF(P$12=0,0,P109/P$12)</f>
        <v>0</v>
      </c>
      <c r="S109" s="15"/>
      <c r="T109" s="30">
        <f>SUM(T106:T108)</f>
        <v>-1218361.7584810425</v>
      </c>
      <c r="U109" s="15"/>
      <c r="V109" s="33">
        <f>IF(T$12=0,0,T109/T$12)</f>
        <v>0</v>
      </c>
      <c r="W109" s="16"/>
      <c r="X109" s="30">
        <f>+P109-T109</f>
        <v>-69888.381518957671</v>
      </c>
      <c r="Y109" s="16"/>
      <c r="Z109" s="33">
        <f>IF(T109=0,0,X109/T109)</f>
        <v>5.7362586302847358E-2</v>
      </c>
    </row>
    <row r="110" spans="1:26" ht="15" customHeight="1" x14ac:dyDescent="0.25">
      <c r="A110" s="10"/>
      <c r="C110" s="10"/>
      <c r="D110" s="18"/>
      <c r="E110" s="18"/>
      <c r="G110" s="18"/>
      <c r="H110" s="18"/>
      <c r="I110" s="18"/>
      <c r="J110" s="40"/>
      <c r="K110" s="18"/>
      <c r="L110" s="18"/>
      <c r="M110" s="18"/>
      <c r="P110" s="18"/>
      <c r="Q110" s="18"/>
      <c r="R110" s="40"/>
      <c r="S110" s="18"/>
      <c r="T110" s="18"/>
      <c r="U110" s="18"/>
      <c r="V110" s="40"/>
      <c r="W110" s="18"/>
      <c r="X110" s="18"/>
    </row>
    <row r="111" spans="1:26" ht="15" customHeight="1" x14ac:dyDescent="0.25">
      <c r="A111" s="10"/>
      <c r="B111" s="54">
        <v>44727.874527581022</v>
      </c>
      <c r="D111" s="18"/>
      <c r="E111" s="18"/>
      <c r="G111" s="18"/>
      <c r="H111" s="18"/>
      <c r="I111" s="18"/>
      <c r="J111" s="40"/>
      <c r="K111" s="18"/>
      <c r="L111" s="18"/>
      <c r="M111" s="18"/>
      <c r="P111" s="18"/>
      <c r="Q111" s="18"/>
      <c r="R111" s="40"/>
      <c r="S111" s="18"/>
      <c r="T111" s="18"/>
      <c r="U111" s="18"/>
      <c r="V111" s="40"/>
      <c r="W111" s="18"/>
      <c r="X111" s="18"/>
    </row>
    <row r="112" spans="1:26" ht="15" customHeight="1" x14ac:dyDescent="0.25">
      <c r="A112" s="10"/>
      <c r="B112" s="50" t="s">
        <v>298</v>
      </c>
      <c r="D112" s="18"/>
      <c r="E112" s="18"/>
      <c r="G112" s="18"/>
      <c r="H112" s="18"/>
      <c r="I112" s="18"/>
      <c r="J112" s="40"/>
      <c r="K112" s="18"/>
      <c r="L112" s="18"/>
      <c r="M112" s="18"/>
      <c r="P112" s="18"/>
      <c r="Q112" s="18"/>
      <c r="R112" s="40"/>
      <c r="S112" s="18"/>
      <c r="T112" s="18"/>
      <c r="U112" s="18"/>
      <c r="V112" s="40"/>
      <c r="W112" s="18"/>
      <c r="X112" s="18"/>
    </row>
    <row r="113" spans="1:24" ht="15" customHeight="1" x14ac:dyDescent="0.25">
      <c r="A113" s="10"/>
      <c r="B113" s="58"/>
      <c r="D113" s="18"/>
      <c r="E113" s="18"/>
      <c r="G113" s="18"/>
      <c r="H113" s="18"/>
      <c r="I113" s="18"/>
      <c r="J113" s="40"/>
      <c r="K113" s="18"/>
      <c r="L113" s="18"/>
      <c r="M113" s="18"/>
      <c r="P113" s="18"/>
      <c r="Q113" s="18"/>
      <c r="R113" s="40"/>
      <c r="S113" s="18"/>
      <c r="T113" s="18"/>
      <c r="U113" s="18"/>
      <c r="V113" s="40"/>
      <c r="W113" s="18"/>
      <c r="X113" s="18"/>
    </row>
    <row r="114" spans="1:24" ht="15" customHeight="1" x14ac:dyDescent="0.25">
      <c r="D114" s="18"/>
      <c r="E114" s="18"/>
      <c r="G114" s="18"/>
      <c r="H114" s="18"/>
      <c r="I114" s="18"/>
      <c r="J114" s="40"/>
      <c r="K114" s="18"/>
      <c r="L114" s="18"/>
      <c r="M114" s="18"/>
      <c r="P114" s="18"/>
      <c r="Q114" s="18"/>
      <c r="R114" s="40"/>
      <c r="S114" s="18"/>
      <c r="T114" s="18"/>
      <c r="U114" s="18"/>
      <c r="V114" s="40"/>
      <c r="W114" s="18"/>
      <c r="X11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08CE7-E497-56AE-283F-6E747F09FB18}">
  <sheetPr>
    <tabColor rgb="FFFFFF0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306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33143.360000000001</v>
      </c>
      <c r="E12" s="5"/>
      <c r="F12" s="13"/>
      <c r="G12" s="5"/>
      <c r="H12" s="5">
        <f>SUM(OSRRefH13x_0)</f>
        <v>55767</v>
      </c>
      <c r="I12" s="5"/>
      <c r="J12" s="13"/>
      <c r="K12" s="5"/>
      <c r="L12" s="5">
        <f t="shared" ref="L12:L17" si="0">+D12-H12</f>
        <v>-22623.64</v>
      </c>
      <c r="M12" s="5"/>
      <c r="N12" s="13">
        <f t="shared" ref="N12:N17" si="1">IF(H12=0,0,L12/H12)</f>
        <v>-0.40568149622536626</v>
      </c>
      <c r="O12" s="11"/>
      <c r="P12" s="5">
        <f>SUM(OSRRefP13x_0)</f>
        <v>2235363.75</v>
      </c>
      <c r="Q12" s="5"/>
      <c r="R12" s="13"/>
      <c r="S12" s="5"/>
      <c r="T12" s="5">
        <f>SUM(OSRRefT13x_0)</f>
        <v>4749349</v>
      </c>
      <c r="U12" s="5"/>
      <c r="V12" s="13"/>
      <c r="W12" s="5"/>
      <c r="X12" s="5">
        <f t="shared" ref="X12:X17" si="2">+P12-T12</f>
        <v>-2513985.25</v>
      </c>
      <c r="Y12" s="5"/>
      <c r="Z12" s="13">
        <f t="shared" ref="Z12:Z17" si="3">IF(T12=0,0,X12/T12)</f>
        <v>-0.52933259905726027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--30486.09</f>
        <v>30486.09</v>
      </c>
      <c r="E13" s="3"/>
      <c r="F13" s="20"/>
      <c r="G13" s="3"/>
      <c r="H13" s="3">
        <v>55767</v>
      </c>
      <c r="I13" s="3"/>
      <c r="J13" s="20"/>
      <c r="K13" s="3"/>
      <c r="L13" s="3">
        <f t="shared" si="0"/>
        <v>-25280.91</v>
      </c>
      <c r="M13" s="3"/>
      <c r="N13" s="20">
        <f t="shared" si="1"/>
        <v>-0.45333100220560546</v>
      </c>
      <c r="O13" s="12"/>
      <c r="P13" s="3">
        <f>--1696017.46</f>
        <v>1696017.46</v>
      </c>
      <c r="Q13" s="3"/>
      <c r="R13" s="20"/>
      <c r="S13" s="3"/>
      <c r="T13" s="3">
        <v>4749349</v>
      </c>
      <c r="U13" s="3"/>
      <c r="V13" s="20"/>
      <c r="W13" s="3"/>
      <c r="X13" s="3">
        <f t="shared" si="2"/>
        <v>-3053331.54</v>
      </c>
      <c r="Y13" s="3"/>
      <c r="Z13" s="20">
        <f t="shared" si="3"/>
        <v>-0.64289475041737298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--9182.57</f>
        <v>9182.57</v>
      </c>
      <c r="E14" s="3"/>
      <c r="F14" s="20"/>
      <c r="G14" s="3"/>
      <c r="H14" s="3"/>
      <c r="I14" s="3"/>
      <c r="J14" s="20"/>
      <c r="K14" s="3"/>
      <c r="L14" s="3">
        <f t="shared" si="0"/>
        <v>9182.57</v>
      </c>
      <c r="M14" s="3"/>
      <c r="N14" s="20">
        <f t="shared" si="1"/>
        <v>0</v>
      </c>
      <c r="O14" s="12"/>
      <c r="P14" s="3">
        <f>--644186.73</f>
        <v>644186.73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644186.73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-6055.15</f>
        <v>-6055.15</v>
      </c>
      <c r="E15" s="3"/>
      <c r="F15" s="20"/>
      <c r="G15" s="3"/>
      <c r="H15" s="3"/>
      <c r="I15" s="3"/>
      <c r="J15" s="20"/>
      <c r="K15" s="3"/>
      <c r="L15" s="3">
        <f t="shared" si="0"/>
        <v>-6055.15</v>
      </c>
      <c r="M15" s="3"/>
      <c r="N15" s="20">
        <f t="shared" si="1"/>
        <v>0</v>
      </c>
      <c r="O15" s="12"/>
      <c r="P15" s="3">
        <f>-58807.02</f>
        <v>-58807.02</v>
      </c>
      <c r="Q15" s="3"/>
      <c r="R15" s="20"/>
      <c r="S15" s="3"/>
      <c r="T15" s="3"/>
      <c r="U15" s="3"/>
      <c r="V15" s="20"/>
      <c r="W15" s="3"/>
      <c r="X15" s="3">
        <f t="shared" si="2"/>
        <v>-58807.02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-207.66</f>
        <v>-207.66</v>
      </c>
      <c r="E16" s="3"/>
      <c r="F16" s="20"/>
      <c r="G16" s="3"/>
      <c r="H16" s="3"/>
      <c r="I16" s="3"/>
      <c r="J16" s="20"/>
      <c r="K16" s="3"/>
      <c r="L16" s="3">
        <f t="shared" si="0"/>
        <v>-207.66</v>
      </c>
      <c r="M16" s="3"/>
      <c r="N16" s="20">
        <f t="shared" si="1"/>
        <v>0</v>
      </c>
      <c r="O16" s="12"/>
      <c r="P16" s="3">
        <f>-38274.37</f>
        <v>-38274.370000000003</v>
      </c>
      <c r="Q16" s="3"/>
      <c r="R16" s="20"/>
      <c r="S16" s="3"/>
      <c r="T16" s="3"/>
      <c r="U16" s="3"/>
      <c r="V16" s="20"/>
      <c r="W16" s="3"/>
      <c r="X16" s="3">
        <f t="shared" si="2"/>
        <v>-38274.370000000003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-262.49</f>
        <v>-262.49</v>
      </c>
      <c r="E17" s="3"/>
      <c r="F17" s="20"/>
      <c r="G17" s="3"/>
      <c r="H17" s="3"/>
      <c r="I17" s="3"/>
      <c r="J17" s="20"/>
      <c r="K17" s="3"/>
      <c r="L17" s="3">
        <f t="shared" si="0"/>
        <v>-262.49</v>
      </c>
      <c r="M17" s="3"/>
      <c r="N17" s="20">
        <f t="shared" si="1"/>
        <v>0</v>
      </c>
      <c r="O17" s="12"/>
      <c r="P17" s="3">
        <f>-7759.05</f>
        <v>-7759.05</v>
      </c>
      <c r="Q17" s="3"/>
      <c r="R17" s="20"/>
      <c r="S17" s="3"/>
      <c r="T17" s="3"/>
      <c r="U17" s="3"/>
      <c r="V17" s="20"/>
      <c r="W17" s="3"/>
      <c r="X17" s="3">
        <f t="shared" si="2"/>
        <v>-7759.05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24508.920000000006</v>
      </c>
      <c r="E19" s="5"/>
      <c r="F19" s="13">
        <f t="shared" ref="F19:F29" si="4">IF(D$12=0,0,D19/D$12)</f>
        <v>0.73948205613432083</v>
      </c>
      <c r="G19" s="5"/>
      <c r="H19" s="5">
        <f>SUM(OSRRefH16x_0)</f>
        <v>40308</v>
      </c>
      <c r="I19" s="5"/>
      <c r="J19" s="13">
        <f t="shared" ref="J19:J29" si="5">IF(H$12=0,0,H19/H$12)</f>
        <v>0.7227930496530206</v>
      </c>
      <c r="K19" s="5"/>
      <c r="L19" s="5">
        <f t="shared" ref="L19:L29" si="6">+D19-H19</f>
        <v>-15799.079999999994</v>
      </c>
      <c r="M19" s="5"/>
      <c r="N19" s="13">
        <f t="shared" ref="N19:N29" si="7">IF(H19=0,0,L19/H19)</f>
        <v>-0.39195891634414992</v>
      </c>
      <c r="O19" s="11"/>
      <c r="P19" s="5">
        <f>SUM(OSRRefP16x_0)</f>
        <v>1705292.12</v>
      </c>
      <c r="Q19" s="5"/>
      <c r="R19" s="13">
        <f t="shared" ref="R19:R29" si="8">IF(P$12=0,0,P19/P$12)</f>
        <v>0.7628700787511653</v>
      </c>
      <c r="S19" s="5"/>
      <c r="T19" s="5">
        <f>SUM(OSRRefT16x_0)</f>
        <v>3435254</v>
      </c>
      <c r="U19" s="5"/>
      <c r="V19" s="13">
        <f t="shared" ref="V19:V29" si="9">IF(T$12=0,0,T19/T$12)</f>
        <v>0.72331050002853026</v>
      </c>
      <c r="W19" s="5"/>
      <c r="X19" s="5">
        <f t="shared" ref="X19:X29" si="10">+P19-T19</f>
        <v>-1729961.88</v>
      </c>
      <c r="Y19" s="5"/>
      <c r="Z19" s="13">
        <f t="shared" ref="Z19:Z29" si="11">IF(T19=0,0,X19/T19)</f>
        <v>-0.50359067480890785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88650</v>
      </c>
      <c r="E20" s="3"/>
      <c r="F20" s="20">
        <f t="shared" si="4"/>
        <v>2.6747439004373725</v>
      </c>
      <c r="G20" s="3"/>
      <c r="H20" s="3">
        <v>40308</v>
      </c>
      <c r="I20" s="3"/>
      <c r="J20" s="20">
        <f t="shared" si="5"/>
        <v>0.7227930496530206</v>
      </c>
      <c r="K20" s="3"/>
      <c r="L20" s="3">
        <f t="shared" si="6"/>
        <v>48342</v>
      </c>
      <c r="M20" s="3"/>
      <c r="N20" s="20">
        <f t="shared" si="7"/>
        <v>1.1993152724025007</v>
      </c>
      <c r="O20" s="12"/>
      <c r="P20" s="3">
        <v>1512963.55</v>
      </c>
      <c r="Q20" s="3"/>
      <c r="R20" s="20">
        <f t="shared" si="8"/>
        <v>0.67683103029652336</v>
      </c>
      <c r="S20" s="3"/>
      <c r="T20" s="3">
        <v>3435254</v>
      </c>
      <c r="U20" s="3"/>
      <c r="V20" s="20">
        <f t="shared" si="9"/>
        <v>0.72331050002853026</v>
      </c>
      <c r="W20" s="3"/>
      <c r="X20" s="3">
        <f t="shared" si="10"/>
        <v>-1922290.45</v>
      </c>
      <c r="Y20" s="3"/>
      <c r="Z20" s="20">
        <f t="shared" si="11"/>
        <v>-0.5595773849619271</v>
      </c>
    </row>
    <row r="21" spans="1:26" s="70" customFormat="1" ht="15" hidden="1" customHeight="1" outlineLevel="1" x14ac:dyDescent="0.25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","5200"," - ","PURCHASES OFFSET")</f>
        <v xml:space="preserve">          5200 - PURCHASES OFFSET</v>
      </c>
      <c r="C24" s="12"/>
      <c r="D24" s="3">
        <v>-87704.65</v>
      </c>
      <c r="E24" s="3"/>
      <c r="F24" s="20">
        <f t="shared" si="4"/>
        <v>-2.6462208418217101</v>
      </c>
      <c r="G24" s="3"/>
      <c r="H24" s="3"/>
      <c r="I24" s="3"/>
      <c r="J24" s="20">
        <f t="shared" si="5"/>
        <v>0</v>
      </c>
      <c r="K24" s="3"/>
      <c r="L24" s="3">
        <f t="shared" si="6"/>
        <v>-87704.65</v>
      </c>
      <c r="M24" s="3"/>
      <c r="N24" s="20">
        <f t="shared" si="7"/>
        <v>0</v>
      </c>
      <c r="O24" s="12"/>
      <c r="P24" s="3">
        <v>-1288787.26</v>
      </c>
      <c r="Q24" s="3"/>
      <c r="R24" s="20">
        <f t="shared" si="8"/>
        <v>-0.57654476145101663</v>
      </c>
      <c r="S24" s="3"/>
      <c r="T24" s="3"/>
      <c r="U24" s="3"/>
      <c r="V24" s="20">
        <f t="shared" si="9"/>
        <v>0</v>
      </c>
      <c r="W24" s="3"/>
      <c r="X24" s="3">
        <f t="shared" si="10"/>
        <v>-1288787.26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","5300"," - ","COG$ OFFSET")</f>
        <v xml:space="preserve">          5300 - COG$ OFFSET</v>
      </c>
      <c r="C25" s="12"/>
      <c r="D25" s="3">
        <v>21914.66</v>
      </c>
      <c r="E25" s="3"/>
      <c r="F25" s="20">
        <f t="shared" si="4"/>
        <v>0.66120815753140294</v>
      </c>
      <c r="G25" s="3"/>
      <c r="H25" s="3"/>
      <c r="I25" s="3"/>
      <c r="J25" s="20">
        <f t="shared" si="5"/>
        <v>0</v>
      </c>
      <c r="K25" s="3"/>
      <c r="L25" s="3">
        <f t="shared" si="6"/>
        <v>21914.66</v>
      </c>
      <c r="M25" s="3"/>
      <c r="N25" s="20">
        <f t="shared" si="7"/>
        <v>0</v>
      </c>
      <c r="O25" s="12"/>
      <c r="P25" s="3">
        <v>1400408.3</v>
      </c>
      <c r="Q25" s="3"/>
      <c r="R25" s="20">
        <f t="shared" si="8"/>
        <v>0.6264789343568804</v>
      </c>
      <c r="S25" s="3"/>
      <c r="T25" s="3"/>
      <c r="U25" s="3"/>
      <c r="V25" s="20">
        <f t="shared" si="9"/>
        <v>0</v>
      </c>
      <c r="W25" s="3"/>
      <c r="X25" s="3">
        <f t="shared" si="10"/>
        <v>1400408.3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","5500"," - ","FREIGHT-IN")</f>
        <v xml:space="preserve">          5500 - FREIGHT-IN</v>
      </c>
      <c r="C26" s="12"/>
      <c r="D26" s="3">
        <v>1648.91</v>
      </c>
      <c r="E26" s="3"/>
      <c r="F26" s="20">
        <f t="shared" si="4"/>
        <v>4.9750839987255366E-2</v>
      </c>
      <c r="G26" s="3"/>
      <c r="H26" s="3"/>
      <c r="I26" s="3"/>
      <c r="J26" s="20">
        <f t="shared" si="5"/>
        <v>0</v>
      </c>
      <c r="K26" s="3"/>
      <c r="L26" s="3">
        <f t="shared" si="6"/>
        <v>1648.91</v>
      </c>
      <c r="M26" s="3"/>
      <c r="N26" s="20">
        <f t="shared" si="7"/>
        <v>0</v>
      </c>
      <c r="O26" s="12"/>
      <c r="P26" s="3">
        <v>80707.53</v>
      </c>
      <c r="Q26" s="3"/>
      <c r="R26" s="20">
        <f t="shared" si="8"/>
        <v>3.6104875548778136E-2</v>
      </c>
      <c r="S26" s="3"/>
      <c r="T26" s="3"/>
      <c r="U26" s="3"/>
      <c r="V26" s="20">
        <f t="shared" si="9"/>
        <v>0</v>
      </c>
      <c r="W26" s="3"/>
      <c r="X26" s="3">
        <f t="shared" si="10"/>
        <v>80707.53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289</v>
      </c>
      <c r="C31" s="28"/>
      <c r="D31" s="22">
        <f>D12-D19</f>
        <v>8634.4399999999951</v>
      </c>
      <c r="E31" s="15"/>
      <c r="F31" s="21">
        <f>IF(D$12=0,0,D31/D$12)</f>
        <v>0.26051794386567911</v>
      </c>
      <c r="G31" s="15"/>
      <c r="H31" s="22">
        <f>H12-H19</f>
        <v>15459</v>
      </c>
      <c r="I31" s="15"/>
      <c r="J31" s="21">
        <f>IF(H$12=0,0,H31/H$12)</f>
        <v>0.2772069503469794</v>
      </c>
      <c r="K31" s="16"/>
      <c r="L31" s="22">
        <f>+D31-H31</f>
        <v>-6824.5600000000049</v>
      </c>
      <c r="M31" s="16"/>
      <c r="N31" s="21">
        <f>IF(H31=0,0,L31/H31)</f>
        <v>-0.44146193156090335</v>
      </c>
      <c r="O31" s="27"/>
      <c r="P31" s="22">
        <f>P12-P19</f>
        <v>530071.62999999989</v>
      </c>
      <c r="Q31" s="15"/>
      <c r="R31" s="21">
        <f>IF(P$12=0,0,P31/P$12)</f>
        <v>0.23712992124883472</v>
      </c>
      <c r="S31" s="15"/>
      <c r="T31" s="22">
        <f>T12-T19</f>
        <v>1314095</v>
      </c>
      <c r="U31" s="15"/>
      <c r="V31" s="21">
        <f>IF(T$12=0,0,T31/T$12)</f>
        <v>0.2766894999714698</v>
      </c>
      <c r="W31" s="16"/>
      <c r="X31" s="22">
        <f>+P31-T31</f>
        <v>-784023.37000000011</v>
      </c>
      <c r="Y31" s="16"/>
      <c r="Z31" s="21">
        <f>IF(T31=0,0,X31/T31)</f>
        <v>-0.59662609628679819</v>
      </c>
    </row>
    <row r="32" spans="1:26" ht="15" customHeight="1" x14ac:dyDescent="0.25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25">
      <c r="A33" s="11"/>
      <c r="B33" s="27" t="s">
        <v>290</v>
      </c>
      <c r="C33" s="11"/>
      <c r="D33" s="23" cm="1">
        <f t="array" ref="D33">SUM(OSRRefD22x_0)</f>
        <v>34291.019999999997</v>
      </c>
      <c r="E33" s="23"/>
      <c r="F33" s="31">
        <f t="shared" ref="F33:F64" si="12">IF(D$12=0,0,D33/D$12)</f>
        <v>1.0346271470363897</v>
      </c>
      <c r="G33" s="23"/>
      <c r="H33" s="23" cm="1">
        <f t="array" ref="H33">SUM(OSRRefH22x_0)</f>
        <v>45175.145897489718</v>
      </c>
      <c r="I33" s="23"/>
      <c r="J33" s="31">
        <f t="shared" ref="J33:J64" si="13">IF(H$12=0,0,H33/H$12)</f>
        <v>0.81006950163160507</v>
      </c>
      <c r="K33" s="5"/>
      <c r="L33" s="23">
        <f t="shared" ref="L33:L64" si="14">+D33-H33</f>
        <v>-10884.125897489721</v>
      </c>
      <c r="M33" s="5"/>
      <c r="N33" s="31">
        <f t="shared" ref="N33:N64" si="15">IF(H33=0,0,L33/H33)</f>
        <v>-0.24093172653360545</v>
      </c>
      <c r="O33" s="11"/>
      <c r="P33" s="23" cm="1">
        <f t="array" ref="P33">SUM(OSRRefP22x_0)</f>
        <v>482773.09</v>
      </c>
      <c r="Q33" s="23"/>
      <c r="R33" s="31">
        <f t="shared" ref="R33:R64" si="16">IF(P$12=0,0,P33/P$12)</f>
        <v>0.21597070722829786</v>
      </c>
      <c r="S33" s="23"/>
      <c r="T33" s="23" cm="1">
        <f t="array" ref="T33">SUM(OSRRefT22x_0)</f>
        <v>595372.41910187702</v>
      </c>
      <c r="U33" s="23"/>
      <c r="V33" s="31">
        <f t="shared" ref="V33:V64" si="17">IF(T$12=0,0,T33/T$12)</f>
        <v>0.12535874266175787</v>
      </c>
      <c r="W33" s="5"/>
      <c r="X33" s="23">
        <f t="shared" ref="X33:X64" si="18">+P33-T33</f>
        <v>-112599.329101877</v>
      </c>
      <c r="Y33" s="5"/>
      <c r="Z33" s="31">
        <f t="shared" ref="Z33:Z64" si="19">IF(T33=0,0,X33/T33)</f>
        <v>-0.18912419435171984</v>
      </c>
    </row>
    <row r="34" spans="1:26" s="69" customFormat="1" ht="15" customHeight="1" outlineLevel="1" collapsed="1" x14ac:dyDescent="0.25">
      <c r="A34" s="26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10813.289999999999</v>
      </c>
      <c r="E34" s="2"/>
      <c r="F34" s="6">
        <f t="shared" si="12"/>
        <v>0.32625811022177592</v>
      </c>
      <c r="G34" s="2"/>
      <c r="H34" s="2">
        <f>SUM(OSRRefH22_0x_0)</f>
        <v>13510.257352235916</v>
      </c>
      <c r="I34" s="2"/>
      <c r="J34" s="6">
        <f t="shared" si="13"/>
        <v>0.24226258095712369</v>
      </c>
      <c r="K34" s="2"/>
      <c r="L34" s="2">
        <f t="shared" si="14"/>
        <v>-2696.9673522359171</v>
      </c>
      <c r="M34" s="2"/>
      <c r="N34" s="6">
        <f t="shared" si="15"/>
        <v>-0.19962368457693186</v>
      </c>
      <c r="O34" s="14"/>
      <c r="P34" s="2">
        <f>SUM(OSRRefP22_0x_0)</f>
        <v>117745.83</v>
      </c>
      <c r="Q34" s="2"/>
      <c r="R34" s="6">
        <f t="shared" si="16"/>
        <v>5.267412518432403E-2</v>
      </c>
      <c r="S34" s="2"/>
      <c r="T34" s="2">
        <f>SUM(OSRRefT22_0x_0)</f>
        <v>161324.22155883096</v>
      </c>
      <c r="U34" s="2"/>
      <c r="V34" s="6">
        <f t="shared" si="17"/>
        <v>3.3967649368119919E-2</v>
      </c>
      <c r="W34" s="2"/>
      <c r="X34" s="2">
        <f t="shared" si="18"/>
        <v>-43578.391558830961</v>
      </c>
      <c r="Y34" s="2"/>
      <c r="Z34" s="6">
        <f t="shared" si="19"/>
        <v>-0.27012925360956414</v>
      </c>
    </row>
    <row r="35" spans="1:26" s="70" customFormat="1" ht="15" hidden="1" customHeight="1" outlineLevel="2" x14ac:dyDescent="0.25">
      <c r="A35" s="25"/>
      <c r="B35" s="12" t="str">
        <f>CONCATENATE("          ","6111"," - ","F.I.C.A.")</f>
        <v xml:space="preserve">          6111 - F.I.C.A.</v>
      </c>
      <c r="C35" s="12"/>
      <c r="D35" s="8">
        <v>1542.63</v>
      </c>
      <c r="E35" s="3"/>
      <c r="F35" s="7">
        <f t="shared" si="12"/>
        <v>4.6544164502331689E-2</v>
      </c>
      <c r="G35" s="3"/>
      <c r="H35" s="8">
        <v>1967.82450197977</v>
      </c>
      <c r="I35" s="3"/>
      <c r="J35" s="7">
        <f t="shared" si="13"/>
        <v>3.5286540462635074E-2</v>
      </c>
      <c r="K35" s="3"/>
      <c r="L35" s="8">
        <f t="shared" si="14"/>
        <v>-425.19450197976994</v>
      </c>
      <c r="M35" s="3"/>
      <c r="N35" s="7">
        <f t="shared" si="15"/>
        <v>-0.21607338538167115</v>
      </c>
      <c r="O35" s="12"/>
      <c r="P35" s="8">
        <v>23424.71</v>
      </c>
      <c r="Q35" s="3"/>
      <c r="R35" s="7">
        <f t="shared" si="16"/>
        <v>1.0479149087033374E-2</v>
      </c>
      <c r="S35" s="3"/>
      <c r="T35" s="8">
        <v>25622.519536257201</v>
      </c>
      <c r="U35" s="3"/>
      <c r="V35" s="7">
        <f t="shared" si="17"/>
        <v>5.3949540318593558E-3</v>
      </c>
      <c r="W35" s="3"/>
      <c r="X35" s="8">
        <f t="shared" si="18"/>
        <v>-2197.8095362572021</v>
      </c>
      <c r="Y35" s="3"/>
      <c r="Z35" s="7">
        <f t="shared" si="19"/>
        <v>-8.5776480066575303E-2</v>
      </c>
    </row>
    <row r="36" spans="1:26" s="70" customFormat="1" ht="15" hidden="1" customHeight="1" outlineLevel="2" x14ac:dyDescent="0.25">
      <c r="A36" s="25"/>
      <c r="B36" s="12" t="str">
        <f>CONCATENATE("          ","6112"," - ","COMPENSATION INSURANCE")</f>
        <v xml:space="preserve">          6112 - COMPENSATION INSURANCE</v>
      </c>
      <c r="C36" s="12"/>
      <c r="D36" s="8">
        <v>403.79</v>
      </c>
      <c r="E36" s="3"/>
      <c r="F36" s="7">
        <f t="shared" si="12"/>
        <v>1.2183134117965106E-2</v>
      </c>
      <c r="G36" s="3"/>
      <c r="H36" s="8">
        <v>462.16119348000001</v>
      </c>
      <c r="I36" s="3"/>
      <c r="J36" s="7">
        <f t="shared" si="13"/>
        <v>8.2873597912744099E-3</v>
      </c>
      <c r="K36" s="3"/>
      <c r="L36" s="8">
        <f t="shared" si="14"/>
        <v>-58.371193479999988</v>
      </c>
      <c r="M36" s="3"/>
      <c r="N36" s="7">
        <f t="shared" si="15"/>
        <v>-0.12630050792554481</v>
      </c>
      <c r="O36" s="12"/>
      <c r="P36" s="8">
        <v>4465.3900000000003</v>
      </c>
      <c r="Q36" s="3"/>
      <c r="R36" s="7">
        <f t="shared" si="16"/>
        <v>1.9976122454343284E-3</v>
      </c>
      <c r="S36" s="3"/>
      <c r="T36" s="8">
        <v>6308.7670677599999</v>
      </c>
      <c r="U36" s="3"/>
      <c r="V36" s="7">
        <f t="shared" si="17"/>
        <v>1.3283435409273986E-3</v>
      </c>
      <c r="W36" s="3"/>
      <c r="X36" s="8">
        <f t="shared" si="18"/>
        <v>-1843.3770677599996</v>
      </c>
      <c r="Y36" s="3"/>
      <c r="Z36" s="7">
        <f t="shared" si="19"/>
        <v>-0.29219291946603948</v>
      </c>
    </row>
    <row r="37" spans="1:26" s="70" customFormat="1" ht="15" hidden="1" customHeight="1" outlineLevel="2" x14ac:dyDescent="0.25">
      <c r="A37" s="25"/>
      <c r="B37" s="12" t="str">
        <f>CONCATENATE("          ","6113"," - ","GROUP INSURANCE")</f>
        <v xml:space="preserve">          6113 - GROUP INSURANCE</v>
      </c>
      <c r="C37" s="12"/>
      <c r="D37" s="8">
        <v>4226.1400000000003</v>
      </c>
      <c r="E37" s="3"/>
      <c r="F37" s="7">
        <f t="shared" si="12"/>
        <v>0.12751091017929383</v>
      </c>
      <c r="G37" s="3"/>
      <c r="H37" s="8">
        <v>5314</v>
      </c>
      <c r="I37" s="3"/>
      <c r="J37" s="7">
        <f t="shared" si="13"/>
        <v>9.5289328814531893E-2</v>
      </c>
      <c r="K37" s="3"/>
      <c r="L37" s="8">
        <f t="shared" si="14"/>
        <v>-1087.8599999999997</v>
      </c>
      <c r="M37" s="3"/>
      <c r="N37" s="7">
        <f t="shared" si="15"/>
        <v>-0.20471584493789982</v>
      </c>
      <c r="O37" s="12"/>
      <c r="P37" s="8">
        <v>47823.83</v>
      </c>
      <c r="Q37" s="3"/>
      <c r="R37" s="7">
        <f t="shared" si="16"/>
        <v>2.1394204858157875E-2</v>
      </c>
      <c r="S37" s="3"/>
      <c r="T37" s="8">
        <v>59678</v>
      </c>
      <c r="U37" s="3"/>
      <c r="V37" s="7">
        <f t="shared" si="17"/>
        <v>1.2565511610117513E-2</v>
      </c>
      <c r="W37" s="3"/>
      <c r="X37" s="8">
        <f t="shared" si="18"/>
        <v>-11854.169999999998</v>
      </c>
      <c r="Y37" s="3"/>
      <c r="Z37" s="7">
        <f t="shared" si="19"/>
        <v>-0.19863551057341061</v>
      </c>
    </row>
    <row r="38" spans="1:26" s="70" customFormat="1" ht="15" hidden="1" customHeight="1" outlineLevel="2" x14ac:dyDescent="0.25">
      <c r="A38" s="25"/>
      <c r="B38" s="12" t="str">
        <f>CONCATENATE("          ","6114"," - ","STATE UNEMPLOYMENT INSURANCE")</f>
        <v xml:space="preserve">          6114 - STATE UNEMPLOYMENT INSURANCE</v>
      </c>
      <c r="C38" s="12"/>
      <c r="D38" s="8">
        <v>79.48</v>
      </c>
      <c r="E38" s="3"/>
      <c r="F38" s="7">
        <f t="shared" si="12"/>
        <v>2.3980670638100664E-3</v>
      </c>
      <c r="G38" s="3"/>
      <c r="H38" s="8">
        <v>62.214006814615402</v>
      </c>
      <c r="I38" s="3"/>
      <c r="J38" s="7">
        <f t="shared" si="13"/>
        <v>1.1156061257484786E-3</v>
      </c>
      <c r="K38" s="3"/>
      <c r="L38" s="8">
        <f t="shared" si="14"/>
        <v>17.265993185384602</v>
      </c>
      <c r="M38" s="3"/>
      <c r="N38" s="7">
        <f t="shared" si="15"/>
        <v>0.27752581885351985</v>
      </c>
      <c r="O38" s="12"/>
      <c r="P38" s="8">
        <v>885.1</v>
      </c>
      <c r="Q38" s="3"/>
      <c r="R38" s="7">
        <f t="shared" si="16"/>
        <v>3.9595345500256953E-4</v>
      </c>
      <c r="S38" s="3"/>
      <c r="T38" s="8">
        <v>849.25710527538399</v>
      </c>
      <c r="U38" s="3"/>
      <c r="V38" s="7">
        <f t="shared" si="17"/>
        <v>1.7881547666330353E-4</v>
      </c>
      <c r="W38" s="3"/>
      <c r="X38" s="8">
        <f t="shared" si="18"/>
        <v>35.842894724616031</v>
      </c>
      <c r="Y38" s="3"/>
      <c r="Z38" s="7">
        <f t="shared" si="19"/>
        <v>4.2204998347341996E-2</v>
      </c>
    </row>
    <row r="39" spans="1:26" s="70" customFormat="1" ht="15" hidden="1" customHeight="1" outlineLevel="2" x14ac:dyDescent="0.25">
      <c r="A39" s="25"/>
      <c r="B39" s="12" t="str">
        <f>CONCATENATE("          ","6115"," - ","P.E.R.S.")</f>
        <v xml:space="preserve">          6115 - P.E.R.S.</v>
      </c>
      <c r="C39" s="12"/>
      <c r="D39" s="8">
        <v>1192.42</v>
      </c>
      <c r="E39" s="3"/>
      <c r="F39" s="7">
        <f t="shared" si="12"/>
        <v>3.5977643787473569E-2</v>
      </c>
      <c r="G39" s="3"/>
      <c r="H39" s="8">
        <v>1664.68278164615</v>
      </c>
      <c r="I39" s="3"/>
      <c r="J39" s="7">
        <f t="shared" si="13"/>
        <v>2.9850678387687162E-2</v>
      </c>
      <c r="K39" s="3"/>
      <c r="L39" s="8">
        <f t="shared" si="14"/>
        <v>-472.26278164614996</v>
      </c>
      <c r="M39" s="3"/>
      <c r="N39" s="7">
        <f t="shared" si="15"/>
        <v>-0.28369536037319065</v>
      </c>
      <c r="O39" s="12"/>
      <c r="P39" s="8">
        <v>20148.009999999998</v>
      </c>
      <c r="Q39" s="3"/>
      <c r="R39" s="7">
        <f t="shared" si="16"/>
        <v>9.0133026448156357E-3</v>
      </c>
      <c r="S39" s="3"/>
      <c r="T39" s="8">
        <v>19976.1933797538</v>
      </c>
      <c r="U39" s="3"/>
      <c r="V39" s="7">
        <f t="shared" si="17"/>
        <v>4.2060908515575085E-3</v>
      </c>
      <c r="W39" s="3"/>
      <c r="X39" s="8">
        <f t="shared" si="18"/>
        <v>171.816620246198</v>
      </c>
      <c r="Y39" s="3"/>
      <c r="Z39" s="7">
        <f t="shared" si="19"/>
        <v>8.6010691316363089E-3</v>
      </c>
    </row>
    <row r="40" spans="1:26" s="70" customFormat="1" ht="15" hidden="1" customHeight="1" outlineLevel="2" x14ac:dyDescent="0.25">
      <c r="A40" s="25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25">
      <c r="A41" s="25"/>
      <c r="B41" s="12" t="str">
        <f>CONCATENATE("          ","6117"," - ","RETIREMENT STAFF HOURLY")</f>
        <v xml:space="preserve">          6117 - RETIREMENT STAFF HOURLY</v>
      </c>
      <c r="C41" s="12"/>
      <c r="D41" s="8">
        <v>161.08000000000001</v>
      </c>
      <c r="E41" s="3"/>
      <c r="F41" s="7">
        <f t="shared" si="12"/>
        <v>4.8600986743649408E-3</v>
      </c>
      <c r="G41" s="3"/>
      <c r="H41" s="8"/>
      <c r="I41" s="3"/>
      <c r="J41" s="7">
        <f t="shared" si="13"/>
        <v>0</v>
      </c>
      <c r="K41" s="3"/>
      <c r="L41" s="8">
        <f t="shared" si="14"/>
        <v>161.08000000000001</v>
      </c>
      <c r="M41" s="3"/>
      <c r="N41" s="7">
        <f t="shared" si="15"/>
        <v>0</v>
      </c>
      <c r="O41" s="12"/>
      <c r="P41" s="8">
        <v>3376.44</v>
      </c>
      <c r="Q41" s="3"/>
      <c r="R41" s="7">
        <f t="shared" si="16"/>
        <v>1.5104655785887196E-3</v>
      </c>
      <c r="S41" s="3"/>
      <c r="T41" s="8"/>
      <c r="U41" s="3"/>
      <c r="V41" s="7">
        <f t="shared" si="17"/>
        <v>0</v>
      </c>
      <c r="W41" s="3"/>
      <c r="X41" s="8">
        <f t="shared" si="18"/>
        <v>3376.44</v>
      </c>
      <c r="Y41" s="3"/>
      <c r="Z41" s="7">
        <f t="shared" si="19"/>
        <v>0</v>
      </c>
    </row>
    <row r="42" spans="1:26" s="70" customFormat="1" ht="15" hidden="1" customHeight="1" outlineLevel="2" x14ac:dyDescent="0.25">
      <c r="A42" s="25"/>
      <c r="B42" s="12" t="str">
        <f>CONCATENATE("          ","6118"," - ","VACATION")</f>
        <v xml:space="preserve">          6118 - VACATION</v>
      </c>
      <c r="C42" s="12"/>
      <c r="D42" s="8">
        <v>1330.2</v>
      </c>
      <c r="E42" s="3"/>
      <c r="F42" s="7">
        <f t="shared" si="12"/>
        <v>4.013473588676586E-2</v>
      </c>
      <c r="G42" s="3"/>
      <c r="H42" s="8">
        <v>1689.1935418999999</v>
      </c>
      <c r="I42" s="3"/>
      <c r="J42" s="7">
        <f t="shared" si="13"/>
        <v>3.02901992558323E-2</v>
      </c>
      <c r="K42" s="3"/>
      <c r="L42" s="8">
        <f t="shared" si="14"/>
        <v>-358.99354189999985</v>
      </c>
      <c r="M42" s="3"/>
      <c r="N42" s="7">
        <f t="shared" si="15"/>
        <v>-0.21252362917289216</v>
      </c>
      <c r="O42" s="12"/>
      <c r="P42" s="8">
        <v>20614.18</v>
      </c>
      <c r="Q42" s="3"/>
      <c r="R42" s="7">
        <f t="shared" si="16"/>
        <v>9.2218458852614035E-3</v>
      </c>
      <c r="S42" s="3"/>
      <c r="T42" s="8">
        <v>20270.322502800002</v>
      </c>
      <c r="U42" s="3"/>
      <c r="V42" s="7">
        <f t="shared" si="17"/>
        <v>4.2680212599242552E-3</v>
      </c>
      <c r="W42" s="3"/>
      <c r="X42" s="8">
        <f t="shared" si="18"/>
        <v>343.85749719999876</v>
      </c>
      <c r="Y42" s="3"/>
      <c r="Z42" s="7">
        <f t="shared" si="19"/>
        <v>1.6963592816665877E-2</v>
      </c>
    </row>
    <row r="43" spans="1:26" s="70" customFormat="1" ht="15" hidden="1" customHeight="1" outlineLevel="2" x14ac:dyDescent="0.25">
      <c r="A43" s="25"/>
      <c r="B43" s="12" t="str">
        <f>CONCATENATE("          ","6119"," - ","SICK LEAVE")</f>
        <v xml:space="preserve">          6119 - SICK LEAVE</v>
      </c>
      <c r="C43" s="12"/>
      <c r="D43" s="8">
        <v>892.48</v>
      </c>
      <c r="E43" s="3"/>
      <c r="F43" s="7">
        <f t="shared" si="12"/>
        <v>2.6927867301323703E-2</v>
      </c>
      <c r="G43" s="3"/>
      <c r="H43" s="8">
        <v>1300.18132641538</v>
      </c>
      <c r="I43" s="3"/>
      <c r="J43" s="7">
        <f t="shared" si="13"/>
        <v>2.3314528778944178E-2</v>
      </c>
      <c r="K43" s="3"/>
      <c r="L43" s="8">
        <f t="shared" si="14"/>
        <v>-407.70132641537998</v>
      </c>
      <c r="M43" s="3"/>
      <c r="N43" s="7">
        <f t="shared" si="15"/>
        <v>-0.31357266723666832</v>
      </c>
      <c r="O43" s="12"/>
      <c r="P43" s="8">
        <v>-13010.34</v>
      </c>
      <c r="Q43" s="3"/>
      <c r="R43" s="7">
        <f t="shared" si="16"/>
        <v>-5.8202339552119869E-3</v>
      </c>
      <c r="S43" s="3"/>
      <c r="T43" s="8">
        <v>17069.1619669846</v>
      </c>
      <c r="U43" s="3"/>
      <c r="V43" s="7">
        <f t="shared" si="17"/>
        <v>3.5940003497288999E-3</v>
      </c>
      <c r="W43" s="3"/>
      <c r="X43" s="8">
        <f t="shared" si="18"/>
        <v>-30079.501966984601</v>
      </c>
      <c r="Y43" s="3"/>
      <c r="Z43" s="7">
        <f t="shared" si="19"/>
        <v>-1.7622131669477841</v>
      </c>
    </row>
    <row r="44" spans="1:26" s="70" customFormat="1" ht="15" hidden="1" customHeight="1" outlineLevel="2" x14ac:dyDescent="0.25">
      <c r="A44" s="25"/>
      <c r="B44" s="12" t="str">
        <f>CONCATENATE("          ","6156"," - ","EMPLOYEE MEALS")</f>
        <v xml:space="preserve">          6156 - EMPLOYEE MEALS</v>
      </c>
      <c r="C44" s="12"/>
      <c r="D44" s="8">
        <v>985.07</v>
      </c>
      <c r="E44" s="3"/>
      <c r="F44" s="7">
        <f t="shared" si="12"/>
        <v>2.9721488708447184E-2</v>
      </c>
      <c r="G44" s="3"/>
      <c r="H44" s="8">
        <v>1050</v>
      </c>
      <c r="I44" s="3"/>
      <c r="J44" s="7">
        <f t="shared" si="13"/>
        <v>1.8828339340470169E-2</v>
      </c>
      <c r="K44" s="3"/>
      <c r="L44" s="8">
        <f t="shared" si="14"/>
        <v>-64.92999999999995</v>
      </c>
      <c r="M44" s="3"/>
      <c r="N44" s="7">
        <f t="shared" si="15"/>
        <v>-6.1838095238095192E-2</v>
      </c>
      <c r="O44" s="12"/>
      <c r="P44" s="8">
        <v>10018.51</v>
      </c>
      <c r="Q44" s="3"/>
      <c r="R44" s="7">
        <f t="shared" si="16"/>
        <v>4.4818253852421108E-3</v>
      </c>
      <c r="S44" s="3"/>
      <c r="T44" s="8">
        <v>11550</v>
      </c>
      <c r="U44" s="3"/>
      <c r="V44" s="7">
        <f t="shared" si="17"/>
        <v>2.4319122473416884E-3</v>
      </c>
      <c r="W44" s="3"/>
      <c r="X44" s="8">
        <f t="shared" si="18"/>
        <v>-1531.4899999999998</v>
      </c>
      <c r="Y44" s="3"/>
      <c r="Z44" s="7">
        <f t="shared" si="19"/>
        <v>-0.13259653679653677</v>
      </c>
    </row>
    <row r="45" spans="1:26" s="69" customFormat="1" ht="15" customHeight="1" outlineLevel="1" collapsed="1" x14ac:dyDescent="0.25">
      <c r="A45" s="26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18500.109999999997</v>
      </c>
      <c r="E45" s="2"/>
      <c r="F45" s="6">
        <f t="shared" si="12"/>
        <v>0.55818450513164619</v>
      </c>
      <c r="G45" s="2"/>
      <c r="H45" s="2">
        <f>SUM(OSRRefH22_1x_0)</f>
        <v>27134.888545253802</v>
      </c>
      <c r="I45" s="2"/>
      <c r="J45" s="6">
        <f t="shared" si="13"/>
        <v>0.48657608523416718</v>
      </c>
      <c r="K45" s="2"/>
      <c r="L45" s="2">
        <f t="shared" si="14"/>
        <v>-8634.7785452538046</v>
      </c>
      <c r="M45" s="2"/>
      <c r="N45" s="6">
        <f t="shared" si="15"/>
        <v>-0.31821684216072171</v>
      </c>
      <c r="O45" s="14"/>
      <c r="P45" s="2">
        <f>SUM(OSRRefP22_1x_0)</f>
        <v>313770.34999999998</v>
      </c>
      <c r="Q45" s="2"/>
      <c r="R45" s="6">
        <f t="shared" si="16"/>
        <v>0.14036657344917577</v>
      </c>
      <c r="S45" s="2"/>
      <c r="T45" s="2">
        <f>SUM(OSRRefT22_1x_0)</f>
        <v>374518.19754304603</v>
      </c>
      <c r="U45" s="2"/>
      <c r="V45" s="6">
        <f t="shared" si="17"/>
        <v>7.8856743849114064E-2</v>
      </c>
      <c r="W45" s="2"/>
      <c r="X45" s="2">
        <f t="shared" si="18"/>
        <v>-60747.847543046053</v>
      </c>
      <c r="Y45" s="2"/>
      <c r="Z45" s="6">
        <f t="shared" si="19"/>
        <v>-0.16220265915400245</v>
      </c>
    </row>
    <row r="46" spans="1:26" s="70" customFormat="1" ht="15" hidden="1" customHeight="1" outlineLevel="2" x14ac:dyDescent="0.25">
      <c r="A46" s="25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25">
      <c r="A47" s="25"/>
      <c r="B47" s="12" t="str">
        <f>CONCATENATE("          ","6002"," - ","STAFF SALARIES")</f>
        <v xml:space="preserve">          6002 - STAFF SALARIES</v>
      </c>
      <c r="C47" s="12"/>
      <c r="D47" s="8">
        <v>13986.97</v>
      </c>
      <c r="E47" s="3"/>
      <c r="F47" s="7">
        <f t="shared" si="12"/>
        <v>0.42201424357699396</v>
      </c>
      <c r="G47" s="3"/>
      <c r="H47" s="8">
        <v>17293.700777253802</v>
      </c>
      <c r="I47" s="3"/>
      <c r="J47" s="7">
        <f t="shared" si="13"/>
        <v>0.31010634922541652</v>
      </c>
      <c r="K47" s="3"/>
      <c r="L47" s="8">
        <f t="shared" si="14"/>
        <v>-3306.7307772538024</v>
      </c>
      <c r="M47" s="3"/>
      <c r="N47" s="7">
        <f t="shared" si="15"/>
        <v>-0.19121013019972602</v>
      </c>
      <c r="O47" s="12"/>
      <c r="P47" s="8">
        <v>203046.17</v>
      </c>
      <c r="Q47" s="3"/>
      <c r="R47" s="7">
        <f t="shared" si="16"/>
        <v>9.0833614887062569E-2</v>
      </c>
      <c r="S47" s="3"/>
      <c r="T47" s="8">
        <v>207524.40932704601</v>
      </c>
      <c r="U47" s="3"/>
      <c r="V47" s="7">
        <f t="shared" si="17"/>
        <v>4.3695337893055665E-2</v>
      </c>
      <c r="W47" s="3"/>
      <c r="X47" s="8">
        <f t="shared" si="18"/>
        <v>-4478.2393270460016</v>
      </c>
      <c r="Y47" s="3"/>
      <c r="Z47" s="7">
        <f t="shared" si="19"/>
        <v>-2.1579337782807829E-2</v>
      </c>
    </row>
    <row r="48" spans="1:26" s="70" customFormat="1" ht="15" hidden="1" customHeight="1" outlineLevel="2" x14ac:dyDescent="0.25">
      <c r="A48" s="25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25">
      <c r="A49" s="25"/>
      <c r="B49" s="12" t="str">
        <f>CONCATENATE("          ","6004"," - ","STAFF HOURLY")</f>
        <v xml:space="preserve">          6004 - STAFF HOURLY</v>
      </c>
      <c r="C49" s="12"/>
      <c r="D49" s="8">
        <v>3355.54</v>
      </c>
      <c r="E49" s="3"/>
      <c r="F49" s="7">
        <f t="shared" si="12"/>
        <v>0.10124320527550616</v>
      </c>
      <c r="G49" s="3"/>
      <c r="H49" s="8">
        <v>5928.5827680000002</v>
      </c>
      <c r="I49" s="3"/>
      <c r="J49" s="7">
        <f t="shared" si="13"/>
        <v>0.10630987444187423</v>
      </c>
      <c r="K49" s="3"/>
      <c r="L49" s="8">
        <f t="shared" si="14"/>
        <v>-2573.0427680000003</v>
      </c>
      <c r="M49" s="3"/>
      <c r="N49" s="7">
        <f t="shared" si="15"/>
        <v>-0.43400638376648876</v>
      </c>
      <c r="O49" s="12"/>
      <c r="P49" s="8">
        <v>65191.06</v>
      </c>
      <c r="Q49" s="3"/>
      <c r="R49" s="7">
        <f t="shared" si="16"/>
        <v>2.9163513097141349E-2</v>
      </c>
      <c r="S49" s="3"/>
      <c r="T49" s="8">
        <v>71142.993216000003</v>
      </c>
      <c r="U49" s="3"/>
      <c r="V49" s="7">
        <f t="shared" si="17"/>
        <v>1.4979525239353857E-2</v>
      </c>
      <c r="W49" s="3"/>
      <c r="X49" s="8">
        <f t="shared" si="18"/>
        <v>-5951.9332160000049</v>
      </c>
      <c r="Y49" s="3"/>
      <c r="Z49" s="7">
        <f t="shared" si="19"/>
        <v>-8.3661551854152513E-2</v>
      </c>
    </row>
    <row r="50" spans="1:26" s="70" customFormat="1" ht="15" hidden="1" customHeight="1" outlineLevel="2" x14ac:dyDescent="0.25">
      <c r="A50" s="25"/>
      <c r="B50" s="12" t="str">
        <f>CONCATENATE("          ","6005"," - ","TEMPORARY WAGES-HOURLY")</f>
        <v xml:space="preserve">          6005 - TEMPORARY WAGES-HOURLY</v>
      </c>
      <c r="C50" s="12"/>
      <c r="D50" s="8"/>
      <c r="E50" s="3"/>
      <c r="F50" s="7">
        <f t="shared" si="12"/>
        <v>0</v>
      </c>
      <c r="G50" s="3"/>
      <c r="H50" s="8">
        <v>2252.5</v>
      </c>
      <c r="I50" s="3"/>
      <c r="J50" s="7">
        <f t="shared" si="13"/>
        <v>4.0391270823246721E-2</v>
      </c>
      <c r="K50" s="3"/>
      <c r="L50" s="8">
        <f t="shared" si="14"/>
        <v>-2252.5</v>
      </c>
      <c r="M50" s="3"/>
      <c r="N50" s="7">
        <f t="shared" si="15"/>
        <v>-1</v>
      </c>
      <c r="O50" s="12"/>
      <c r="P50" s="8">
        <v>14698.31</v>
      </c>
      <c r="Q50" s="3"/>
      <c r="R50" s="7">
        <f t="shared" si="16"/>
        <v>6.5753549058850036E-3</v>
      </c>
      <c r="S50" s="3"/>
      <c r="T50" s="8">
        <v>33631.5</v>
      </c>
      <c r="U50" s="3"/>
      <c r="V50" s="7">
        <f t="shared" si="17"/>
        <v>7.0812862983958436E-3</v>
      </c>
      <c r="W50" s="3"/>
      <c r="X50" s="8">
        <f t="shared" si="18"/>
        <v>-18933.190000000002</v>
      </c>
      <c r="Y50" s="3"/>
      <c r="Z50" s="7">
        <f t="shared" si="19"/>
        <v>-0.56296002259786215</v>
      </c>
    </row>
    <row r="51" spans="1:26" s="70" customFormat="1" ht="15" hidden="1" customHeight="1" outlineLevel="2" x14ac:dyDescent="0.25">
      <c r="A51" s="25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25">
      <c r="A52" s="25"/>
      <c r="B52" s="12" t="str">
        <f>CONCATENATE("          ","6007"," - ","STUDENT HOURLY")</f>
        <v xml:space="preserve">          6007 - STUDENT HOURLY</v>
      </c>
      <c r="C52" s="12"/>
      <c r="D52" s="8">
        <v>1157.5999999999999</v>
      </c>
      <c r="E52" s="3"/>
      <c r="F52" s="7">
        <f t="shared" si="12"/>
        <v>3.4927056279146107E-2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1157.5999999999999</v>
      </c>
      <c r="M52" s="3"/>
      <c r="N52" s="7">
        <f t="shared" si="15"/>
        <v>0</v>
      </c>
      <c r="O52" s="12"/>
      <c r="P52" s="8">
        <v>26868.33</v>
      </c>
      <c r="Q52" s="3"/>
      <c r="R52" s="7">
        <f t="shared" si="16"/>
        <v>1.2019667939949371E-2</v>
      </c>
      <c r="S52" s="3"/>
      <c r="T52" s="8">
        <v>26246.25</v>
      </c>
      <c r="U52" s="3"/>
      <c r="V52" s="7">
        <f t="shared" si="17"/>
        <v>5.5262837075144402E-3</v>
      </c>
      <c r="W52" s="3"/>
      <c r="X52" s="8">
        <f t="shared" si="18"/>
        <v>622.08000000000175</v>
      </c>
      <c r="Y52" s="3"/>
      <c r="Z52" s="7">
        <f t="shared" si="19"/>
        <v>2.370167166738112E-2</v>
      </c>
    </row>
    <row r="53" spans="1:26" s="70" customFormat="1" ht="15" hidden="1" customHeight="1" outlineLevel="2" x14ac:dyDescent="0.25">
      <c r="A53" s="25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1660.105</v>
      </c>
      <c r="I53" s="3"/>
      <c r="J53" s="7">
        <f t="shared" si="13"/>
        <v>2.9768590743629746E-2</v>
      </c>
      <c r="K53" s="3"/>
      <c r="L53" s="8">
        <f t="shared" si="14"/>
        <v>-1660.105</v>
      </c>
      <c r="M53" s="3"/>
      <c r="N53" s="7">
        <f t="shared" si="15"/>
        <v>-1</v>
      </c>
      <c r="O53" s="12"/>
      <c r="P53" s="8">
        <v>3966.48</v>
      </c>
      <c r="Q53" s="3"/>
      <c r="R53" s="7">
        <f t="shared" si="16"/>
        <v>1.7744226191374894E-3</v>
      </c>
      <c r="S53" s="3"/>
      <c r="T53" s="8">
        <v>35973.044999999998</v>
      </c>
      <c r="U53" s="3"/>
      <c r="V53" s="7">
        <f t="shared" si="17"/>
        <v>7.5743107107942576E-3</v>
      </c>
      <c r="W53" s="3"/>
      <c r="X53" s="8">
        <f t="shared" si="18"/>
        <v>-32006.564999999999</v>
      </c>
      <c r="Y53" s="3"/>
      <c r="Z53" s="7">
        <f t="shared" si="19"/>
        <v>-0.88973744090888052</v>
      </c>
    </row>
    <row r="54" spans="1:26" s="70" customFormat="1" ht="15" hidden="1" customHeight="1" outlineLevel="2" x14ac:dyDescent="0.25">
      <c r="A54" s="25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25">
      <c r="A55" s="25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25">
      <c r="A56" s="26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29.4</v>
      </c>
      <c r="E56" s="2"/>
      <c r="F56" s="6">
        <f t="shared" si="12"/>
        <v>8.870555067440355E-4</v>
      </c>
      <c r="G56" s="2"/>
      <c r="H56" s="2">
        <f>SUM(OSRRefH22_2x_0)</f>
        <v>200</v>
      </c>
      <c r="I56" s="2"/>
      <c r="J56" s="6">
        <f t="shared" si="13"/>
        <v>3.5863503505657469E-3</v>
      </c>
      <c r="K56" s="2"/>
      <c r="L56" s="2">
        <f t="shared" si="14"/>
        <v>-170.6</v>
      </c>
      <c r="M56" s="2"/>
      <c r="N56" s="6">
        <f t="shared" si="15"/>
        <v>-0.85299999999999998</v>
      </c>
      <c r="O56" s="14"/>
      <c r="P56" s="2">
        <f>SUM(OSRRefP22_2x_0)</f>
        <v>965</v>
      </c>
      <c r="Q56" s="2"/>
      <c r="R56" s="6">
        <f t="shared" si="16"/>
        <v>4.3169707838377537E-4</v>
      </c>
      <c r="S56" s="2"/>
      <c r="T56" s="2">
        <f>SUM(OSRRefT22_2x_0)</f>
        <v>3200</v>
      </c>
      <c r="U56" s="2"/>
      <c r="V56" s="6">
        <f t="shared" si="17"/>
        <v>6.7377655337605218E-4</v>
      </c>
      <c r="W56" s="2"/>
      <c r="X56" s="2">
        <f t="shared" si="18"/>
        <v>-2235</v>
      </c>
      <c r="Y56" s="2"/>
      <c r="Z56" s="6">
        <f t="shared" si="19"/>
        <v>-0.69843750000000004</v>
      </c>
    </row>
    <row r="57" spans="1:26" s="70" customFormat="1" ht="15" hidden="1" customHeight="1" outlineLevel="2" x14ac:dyDescent="0.25">
      <c r="A57" s="25"/>
      <c r="B57" s="12" t="str">
        <f>CONCATENATE("          ","6362"," - ","ADVERTISING EXPENSE")</f>
        <v xml:space="preserve">          6362 - ADVERTISING EXPENSE</v>
      </c>
      <c r="C57" s="12"/>
      <c r="D57" s="8">
        <v>29.4</v>
      </c>
      <c r="E57" s="3"/>
      <c r="F57" s="7">
        <f t="shared" si="12"/>
        <v>8.870555067440355E-4</v>
      </c>
      <c r="G57" s="3"/>
      <c r="H57" s="8">
        <v>200</v>
      </c>
      <c r="I57" s="3"/>
      <c r="J57" s="7">
        <f t="shared" si="13"/>
        <v>3.5863503505657469E-3</v>
      </c>
      <c r="K57" s="3"/>
      <c r="L57" s="8">
        <f t="shared" si="14"/>
        <v>-170.6</v>
      </c>
      <c r="M57" s="3"/>
      <c r="N57" s="7">
        <f t="shared" si="15"/>
        <v>-0.85299999999999998</v>
      </c>
      <c r="O57" s="12"/>
      <c r="P57" s="8">
        <v>965</v>
      </c>
      <c r="Q57" s="3"/>
      <c r="R57" s="7">
        <f t="shared" si="16"/>
        <v>4.3169707838377537E-4</v>
      </c>
      <c r="S57" s="3"/>
      <c r="T57" s="8">
        <v>3200</v>
      </c>
      <c r="U57" s="3"/>
      <c r="V57" s="7">
        <f t="shared" si="17"/>
        <v>6.7377655337605218E-4</v>
      </c>
      <c r="W57" s="3"/>
      <c r="X57" s="8">
        <f t="shared" si="18"/>
        <v>-2235</v>
      </c>
      <c r="Y57" s="3"/>
      <c r="Z57" s="7">
        <f t="shared" si="19"/>
        <v>-0.69843750000000004</v>
      </c>
    </row>
    <row r="58" spans="1:26" s="69" customFormat="1" ht="15" customHeight="1" outlineLevel="1" collapsed="1" x14ac:dyDescent="0.25">
      <c r="A58" s="26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6.0392855525191372E-7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","6382"," - ","DISCOUNTS/MARK DOWNS")</f>
        <v xml:space="preserve">          6382 - DISCOUNTS/MARK DOWNS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>
        <v>1.35</v>
      </c>
      <c r="Q59" s="3"/>
      <c r="R59" s="7">
        <f t="shared" si="16"/>
        <v>6.0392855525191372E-7</v>
      </c>
      <c r="S59" s="3"/>
      <c r="T59" s="8"/>
      <c r="U59" s="3"/>
      <c r="V59" s="7">
        <f t="shared" si="17"/>
        <v>0</v>
      </c>
      <c r="W59" s="3"/>
      <c r="X59" s="8">
        <f t="shared" si="18"/>
        <v>1.35</v>
      </c>
      <c r="Y59" s="3"/>
      <c r="Z59" s="7">
        <f t="shared" si="19"/>
        <v>0</v>
      </c>
    </row>
    <row r="60" spans="1:26" s="69" customFormat="1" ht="15" customHeight="1" outlineLevel="1" collapsed="1" x14ac:dyDescent="0.25">
      <c r="A60" s="26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8.9658758764143672E-4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550</v>
      </c>
      <c r="U60" s="2"/>
      <c r="V60" s="6">
        <f t="shared" si="17"/>
        <v>1.1580534511150897E-4</v>
      </c>
      <c r="W60" s="2"/>
      <c r="X60" s="2">
        <f t="shared" si="18"/>
        <v>-550</v>
      </c>
      <c r="Y60" s="2"/>
      <c r="Z60" s="6">
        <f t="shared" si="19"/>
        <v>-1</v>
      </c>
    </row>
    <row r="61" spans="1:26" s="70" customFormat="1" ht="15" hidden="1" customHeight="1" outlineLevel="2" x14ac:dyDescent="0.25">
      <c r="A61" s="25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50</v>
      </c>
      <c r="I61" s="3"/>
      <c r="J61" s="7">
        <f t="shared" si="13"/>
        <v>8.9658758764143672E-4</v>
      </c>
      <c r="K61" s="3"/>
      <c r="L61" s="8">
        <f t="shared" si="14"/>
        <v>-50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550</v>
      </c>
      <c r="U61" s="3"/>
      <c r="V61" s="7">
        <f t="shared" si="17"/>
        <v>1.1580534511150897E-4</v>
      </c>
      <c r="W61" s="3"/>
      <c r="X61" s="8">
        <f t="shared" si="18"/>
        <v>-550</v>
      </c>
      <c r="Y61" s="3"/>
      <c r="Z61" s="7">
        <f t="shared" si="19"/>
        <v>-1</v>
      </c>
    </row>
    <row r="62" spans="1:26" s="69" customFormat="1" ht="15" customHeight="1" outlineLevel="1" collapsed="1" x14ac:dyDescent="0.25">
      <c r="A62" s="26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2.7534927056279148E-3</v>
      </c>
      <c r="G62" s="2"/>
      <c r="H62" s="2">
        <f>SUM(OSRRefH22_5x_0)</f>
        <v>100</v>
      </c>
      <c r="I62" s="2"/>
      <c r="J62" s="6">
        <f t="shared" si="13"/>
        <v>1.7931751752828734E-3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1003.86</v>
      </c>
      <c r="Q62" s="2"/>
      <c r="R62" s="6">
        <f t="shared" si="16"/>
        <v>4.4908127368532304E-4</v>
      </c>
      <c r="S62" s="2"/>
      <c r="T62" s="2">
        <f>SUM(OSRRefT22_5x_0)</f>
        <v>1100</v>
      </c>
      <c r="U62" s="2"/>
      <c r="V62" s="6">
        <f t="shared" si="17"/>
        <v>2.3161069022301794E-4</v>
      </c>
      <c r="W62" s="2"/>
      <c r="X62" s="2">
        <f t="shared" si="18"/>
        <v>-96.139999999999986</v>
      </c>
      <c r="Y62" s="2"/>
      <c r="Z62" s="6">
        <f t="shared" si="19"/>
        <v>-8.7399999999999992E-2</v>
      </c>
    </row>
    <row r="63" spans="1:26" s="70" customFormat="1" ht="15" hidden="1" customHeight="1" outlineLevel="2" x14ac:dyDescent="0.25">
      <c r="A63" s="25"/>
      <c r="B63" s="12" t="str">
        <f>CONCATENATE("          ","6351"," - ","EQUIPMENT RENTAL")</f>
        <v xml:space="preserve">          6351 - EQUIPMENT RENTAL</v>
      </c>
      <c r="C63" s="12"/>
      <c r="D63" s="8">
        <v>91.26</v>
      </c>
      <c r="E63" s="3"/>
      <c r="F63" s="7">
        <f t="shared" si="12"/>
        <v>2.7534927056279148E-3</v>
      </c>
      <c r="G63" s="3"/>
      <c r="H63" s="8">
        <v>100</v>
      </c>
      <c r="I63" s="3"/>
      <c r="J63" s="7">
        <f t="shared" si="13"/>
        <v>1.7931751752828734E-3</v>
      </c>
      <c r="K63" s="3"/>
      <c r="L63" s="8">
        <f t="shared" si="14"/>
        <v>-8.7399999999999949</v>
      </c>
      <c r="M63" s="3"/>
      <c r="N63" s="7">
        <f t="shared" si="15"/>
        <v>-8.739999999999995E-2</v>
      </c>
      <c r="O63" s="12"/>
      <c r="P63" s="8">
        <v>1003.86</v>
      </c>
      <c r="Q63" s="3"/>
      <c r="R63" s="7">
        <f t="shared" si="16"/>
        <v>4.4908127368532304E-4</v>
      </c>
      <c r="S63" s="3"/>
      <c r="T63" s="8">
        <v>1100</v>
      </c>
      <c r="U63" s="3"/>
      <c r="V63" s="7">
        <f t="shared" si="17"/>
        <v>2.3161069022301794E-4</v>
      </c>
      <c r="W63" s="3"/>
      <c r="X63" s="8">
        <f t="shared" si="18"/>
        <v>-96.139999999999986</v>
      </c>
      <c r="Y63" s="3"/>
      <c r="Z63" s="7">
        <f t="shared" si="19"/>
        <v>-8.7399999999999992E-2</v>
      </c>
    </row>
    <row r="64" spans="1:26" s="69" customFormat="1" ht="15" customHeight="1" outlineLevel="1" collapsed="1" x14ac:dyDescent="0.25">
      <c r="A64" s="26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814.34</v>
      </c>
      <c r="E64" s="2"/>
      <c r="F64" s="6">
        <f t="shared" si="12"/>
        <v>2.4570230658569319E-2</v>
      </c>
      <c r="G64" s="2"/>
      <c r="H64" s="2">
        <f>SUM(OSRRefH22_6x_0)</f>
        <v>1000</v>
      </c>
      <c r="I64" s="2"/>
      <c r="J64" s="6">
        <f t="shared" si="13"/>
        <v>1.7931751752828733E-2</v>
      </c>
      <c r="K64" s="2"/>
      <c r="L64" s="2">
        <f t="shared" si="14"/>
        <v>-185.65999999999997</v>
      </c>
      <c r="M64" s="2"/>
      <c r="N64" s="6">
        <f t="shared" si="15"/>
        <v>-0.18565999999999996</v>
      </c>
      <c r="O64" s="14"/>
      <c r="P64" s="2">
        <f>SUM(OSRRefP22_6x_0)</f>
        <v>13206.12</v>
      </c>
      <c r="Q64" s="2"/>
      <c r="R64" s="6">
        <f t="shared" si="16"/>
        <v>5.9078170163580765E-3</v>
      </c>
      <c r="S64" s="2"/>
      <c r="T64" s="2">
        <f>SUM(OSRRefT22_6x_0)</f>
        <v>17000</v>
      </c>
      <c r="U64" s="2"/>
      <c r="V64" s="6">
        <f t="shared" si="17"/>
        <v>3.5794379398102773E-3</v>
      </c>
      <c r="W64" s="2"/>
      <c r="X64" s="2">
        <f t="shared" si="18"/>
        <v>-3793.8799999999992</v>
      </c>
      <c r="Y64" s="2"/>
      <c r="Z64" s="6">
        <f t="shared" si="19"/>
        <v>-0.22316941176470584</v>
      </c>
    </row>
    <row r="65" spans="1:26" s="70" customFormat="1" ht="15" hidden="1" customHeight="1" outlineLevel="2" x14ac:dyDescent="0.25">
      <c r="A65" s="25"/>
      <c r="B65" s="12" t="str">
        <f>CONCATENATE("          ","6305"," - ","FREIGHT OUT")</f>
        <v xml:space="preserve">          6305 - FREIGHT OUT</v>
      </c>
      <c r="C65" s="12"/>
      <c r="D65" s="8">
        <v>814.34</v>
      </c>
      <c r="E65" s="3"/>
      <c r="F65" s="7">
        <f t="shared" ref="F65:F85" si="20">IF(D$12=0,0,D65/D$12)</f>
        <v>2.4570230658569319E-2</v>
      </c>
      <c r="G65" s="3"/>
      <c r="H65" s="8">
        <v>1000</v>
      </c>
      <c r="I65" s="3"/>
      <c r="J65" s="7">
        <f t="shared" ref="J65:J85" si="21">IF(H$12=0,0,H65/H$12)</f>
        <v>1.7931751752828733E-2</v>
      </c>
      <c r="K65" s="3"/>
      <c r="L65" s="8">
        <f t="shared" ref="L65:L85" si="22">+D65-H65</f>
        <v>-185.65999999999997</v>
      </c>
      <c r="M65" s="3"/>
      <c r="N65" s="7">
        <f t="shared" ref="N65:N85" si="23">IF(H65=0,0,L65/H65)</f>
        <v>-0.18565999999999996</v>
      </c>
      <c r="O65" s="12"/>
      <c r="P65" s="8">
        <v>13204.53</v>
      </c>
      <c r="Q65" s="3"/>
      <c r="R65" s="7">
        <f t="shared" ref="R65:R85" si="24">IF(P$12=0,0,P65/P$12)</f>
        <v>5.9071057227263347E-3</v>
      </c>
      <c r="S65" s="3"/>
      <c r="T65" s="8">
        <v>17000</v>
      </c>
      <c r="U65" s="3"/>
      <c r="V65" s="7">
        <f t="shared" ref="V65:V85" si="25">IF(T$12=0,0,T65/T$12)</f>
        <v>3.5794379398102773E-3</v>
      </c>
      <c r="W65" s="3"/>
      <c r="X65" s="8">
        <f t="shared" ref="X65:X85" si="26">+P65-T65</f>
        <v>-3795.4699999999993</v>
      </c>
      <c r="Y65" s="3"/>
      <c r="Z65" s="7">
        <f t="shared" ref="Z65:Z85" si="27">IF(T65=0,0,X65/T65)</f>
        <v>-0.22326294117647055</v>
      </c>
    </row>
    <row r="66" spans="1:26" s="70" customFormat="1" ht="15" hidden="1" customHeight="1" outlineLevel="2" x14ac:dyDescent="0.25">
      <c r="A66" s="25"/>
      <c r="B66" s="12" t="str">
        <f>CONCATENATE("          ","6307"," - ","POSTAGE")</f>
        <v xml:space="preserve">          6307 - POSTAGE</v>
      </c>
      <c r="C66" s="12"/>
      <c r="D66" s="8"/>
      <c r="E66" s="3"/>
      <c r="F66" s="7">
        <f t="shared" si="20"/>
        <v>0</v>
      </c>
      <c r="G66" s="3"/>
      <c r="H66" s="8"/>
      <c r="I66" s="3"/>
      <c r="J66" s="7">
        <f t="shared" si="21"/>
        <v>0</v>
      </c>
      <c r="K66" s="3"/>
      <c r="L66" s="8">
        <f t="shared" si="22"/>
        <v>0</v>
      </c>
      <c r="M66" s="3"/>
      <c r="N66" s="7">
        <f t="shared" si="23"/>
        <v>0</v>
      </c>
      <c r="O66" s="12"/>
      <c r="P66" s="8">
        <v>1.59</v>
      </c>
      <c r="Q66" s="3"/>
      <c r="R66" s="7">
        <f t="shared" si="24"/>
        <v>7.1129363174114287E-7</v>
      </c>
      <c r="S66" s="3"/>
      <c r="T66" s="8"/>
      <c r="U66" s="3"/>
      <c r="V66" s="7">
        <f t="shared" si="25"/>
        <v>0</v>
      </c>
      <c r="W66" s="3"/>
      <c r="X66" s="8">
        <f t="shared" si="26"/>
        <v>1.59</v>
      </c>
      <c r="Y66" s="3"/>
      <c r="Z66" s="7">
        <f t="shared" si="27"/>
        <v>0</v>
      </c>
    </row>
    <row r="67" spans="1:26" s="69" customFormat="1" ht="15" customHeight="1" outlineLevel="1" collapsed="1" x14ac:dyDescent="0.25">
      <c r="A67" s="26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750</v>
      </c>
      <c r="I67" s="2"/>
      <c r="J67" s="6">
        <f t="shared" si="21"/>
        <v>1.3448813814621551E-2</v>
      </c>
      <c r="K67" s="2"/>
      <c r="L67" s="2">
        <f t="shared" si="22"/>
        <v>-750</v>
      </c>
      <c r="M67" s="2"/>
      <c r="N67" s="6">
        <f t="shared" si="23"/>
        <v>-1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2750</v>
      </c>
      <c r="U67" s="2"/>
      <c r="V67" s="6">
        <f t="shared" si="25"/>
        <v>5.7902672555754488E-4</v>
      </c>
      <c r="W67" s="2"/>
      <c r="X67" s="2">
        <f t="shared" si="26"/>
        <v>-2750</v>
      </c>
      <c r="Y67" s="2"/>
      <c r="Z67" s="6">
        <f t="shared" si="27"/>
        <v>-1</v>
      </c>
    </row>
    <row r="68" spans="1:26" s="70" customFormat="1" ht="15" hidden="1" customHeight="1" outlineLevel="2" x14ac:dyDescent="0.25">
      <c r="A68" s="25"/>
      <c r="B68" s="12" t="str">
        <f>CONCATENATE("          ","6279"," - ","GENERAL EXPENSE")</f>
        <v xml:space="preserve">          6279 - GENERAL EXPENSE</v>
      </c>
      <c r="C68" s="12"/>
      <c r="D68" s="8"/>
      <c r="E68" s="3"/>
      <c r="F68" s="7">
        <f t="shared" si="20"/>
        <v>0</v>
      </c>
      <c r="G68" s="3"/>
      <c r="H68" s="8">
        <v>750</v>
      </c>
      <c r="I68" s="3"/>
      <c r="J68" s="7">
        <f t="shared" si="21"/>
        <v>1.3448813814621551E-2</v>
      </c>
      <c r="K68" s="3"/>
      <c r="L68" s="8">
        <f t="shared" si="22"/>
        <v>-750</v>
      </c>
      <c r="M68" s="3"/>
      <c r="N68" s="7">
        <f t="shared" si="23"/>
        <v>-1</v>
      </c>
      <c r="O68" s="12"/>
      <c r="P68" s="8"/>
      <c r="Q68" s="3"/>
      <c r="R68" s="7">
        <f t="shared" si="24"/>
        <v>0</v>
      </c>
      <c r="S68" s="3"/>
      <c r="T68" s="8">
        <v>2750</v>
      </c>
      <c r="U68" s="3"/>
      <c r="V68" s="7">
        <f t="shared" si="25"/>
        <v>5.7902672555754488E-4</v>
      </c>
      <c r="W68" s="3"/>
      <c r="X68" s="8">
        <f t="shared" si="26"/>
        <v>-2750</v>
      </c>
      <c r="Y68" s="3"/>
      <c r="Z68" s="7">
        <f t="shared" si="27"/>
        <v>-1</v>
      </c>
    </row>
    <row r="69" spans="1:26" s="69" customFormat="1" ht="15" customHeight="1" outlineLevel="1" collapsed="1" x14ac:dyDescent="0.25">
      <c r="A69" s="26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3.0171956011701889E-2</v>
      </c>
      <c r="G69" s="2"/>
      <c r="H69" s="2">
        <f>SUM(OSRRefH22_8x_0)</f>
        <v>1000</v>
      </c>
      <c r="I69" s="2"/>
      <c r="J69" s="6">
        <f t="shared" si="21"/>
        <v>1.7931751752828733E-2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15000</v>
      </c>
      <c r="Q69" s="2"/>
      <c r="R69" s="6">
        <f t="shared" si="24"/>
        <v>6.7103172805768191E-3</v>
      </c>
      <c r="S69" s="2"/>
      <c r="T69" s="2">
        <f>SUM(OSRRefT22_8x_0)</f>
        <v>15000</v>
      </c>
      <c r="U69" s="2"/>
      <c r="V69" s="6">
        <f t="shared" si="25"/>
        <v>3.1583275939502447E-3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25">
      <c r="A70" s="25"/>
      <c r="B70" s="12" t="str">
        <f>CONCATENATE("          ","6408"," - ","INVENTORY ADJUSTMENT")</f>
        <v xml:space="preserve">          6408 - INVENTORY ADJUSTMENT</v>
      </c>
      <c r="C70" s="12"/>
      <c r="D70" s="8">
        <v>1000</v>
      </c>
      <c r="E70" s="3"/>
      <c r="F70" s="7">
        <f t="shared" si="20"/>
        <v>3.0171956011701889E-2</v>
      </c>
      <c r="G70" s="3"/>
      <c r="H70" s="8">
        <v>1000</v>
      </c>
      <c r="I70" s="3"/>
      <c r="J70" s="7">
        <f t="shared" si="21"/>
        <v>1.7931751752828733E-2</v>
      </c>
      <c r="K70" s="3"/>
      <c r="L70" s="8">
        <f t="shared" si="22"/>
        <v>0</v>
      </c>
      <c r="M70" s="3"/>
      <c r="N70" s="7">
        <f t="shared" si="23"/>
        <v>0</v>
      </c>
      <c r="O70" s="12"/>
      <c r="P70" s="8">
        <v>15000</v>
      </c>
      <c r="Q70" s="3"/>
      <c r="R70" s="7">
        <f t="shared" si="24"/>
        <v>6.7103172805768191E-3</v>
      </c>
      <c r="S70" s="3"/>
      <c r="T70" s="8">
        <v>15000</v>
      </c>
      <c r="U70" s="3"/>
      <c r="V70" s="7">
        <f t="shared" si="25"/>
        <v>3.1583275939502447E-3</v>
      </c>
      <c r="W70" s="3"/>
      <c r="X70" s="8">
        <f t="shared" si="26"/>
        <v>0</v>
      </c>
      <c r="Y70" s="3"/>
      <c r="Z70" s="7">
        <f t="shared" si="27"/>
        <v>0</v>
      </c>
    </row>
    <row r="71" spans="1:26" s="69" customFormat="1" ht="15" customHeight="1" outlineLevel="1" collapsed="1" x14ac:dyDescent="0.25">
      <c r="A71" s="26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21.85</v>
      </c>
      <c r="E71" s="2"/>
      <c r="F71" s="6">
        <f t="shared" si="20"/>
        <v>6.5925723885568632E-4</v>
      </c>
      <c r="G71" s="2"/>
      <c r="H71" s="2">
        <f>SUM(OSRRefH22_9x_0)</f>
        <v>80</v>
      </c>
      <c r="I71" s="2"/>
      <c r="J71" s="6">
        <f t="shared" si="21"/>
        <v>1.4345401402262987E-3</v>
      </c>
      <c r="K71" s="2"/>
      <c r="L71" s="2">
        <f t="shared" si="22"/>
        <v>-58.15</v>
      </c>
      <c r="M71" s="2"/>
      <c r="N71" s="6">
        <f t="shared" si="23"/>
        <v>-0.72687499999999994</v>
      </c>
      <c r="O71" s="14"/>
      <c r="P71" s="2">
        <f>SUM(OSRRefP22_9x_0)</f>
        <v>6084.25</v>
      </c>
      <c r="Q71" s="2"/>
      <c r="R71" s="6">
        <f t="shared" si="24"/>
        <v>2.7218165276233007E-3</v>
      </c>
      <c r="S71" s="2"/>
      <c r="T71" s="2">
        <f>SUM(OSRRefT22_9x_0)</f>
        <v>880</v>
      </c>
      <c r="U71" s="2"/>
      <c r="V71" s="6">
        <f t="shared" si="25"/>
        <v>1.8528855217841435E-4</v>
      </c>
      <c r="W71" s="2"/>
      <c r="X71" s="2">
        <f t="shared" si="26"/>
        <v>5204.25</v>
      </c>
      <c r="Y71" s="2"/>
      <c r="Z71" s="6">
        <f t="shared" si="27"/>
        <v>5.9139204545454547</v>
      </c>
    </row>
    <row r="72" spans="1:26" s="70" customFormat="1" ht="15" hidden="1" customHeight="1" outlineLevel="2" x14ac:dyDescent="0.25">
      <c r="A72" s="25"/>
      <c r="B72" s="12" t="str">
        <f>CONCATENATE("          ","6371"," - ","COMPUTER SOFTWARE MAINTENANCE")</f>
        <v xml:space="preserve">          6371 - COMPUTER SOFTWARE MAINTENANCE</v>
      </c>
      <c r="C72" s="12"/>
      <c r="D72" s="8"/>
      <c r="E72" s="3"/>
      <c r="F72" s="7">
        <f t="shared" si="20"/>
        <v>0</v>
      </c>
      <c r="G72" s="3"/>
      <c r="H72" s="8">
        <v>0</v>
      </c>
      <c r="I72" s="3"/>
      <c r="J72" s="7">
        <f t="shared" si="21"/>
        <v>0</v>
      </c>
      <c r="K72" s="3"/>
      <c r="L72" s="8">
        <f t="shared" si="22"/>
        <v>0</v>
      </c>
      <c r="M72" s="3"/>
      <c r="N72" s="7">
        <f t="shared" si="23"/>
        <v>0</v>
      </c>
      <c r="O72" s="12"/>
      <c r="P72" s="8">
        <v>5775</v>
      </c>
      <c r="Q72" s="3"/>
      <c r="R72" s="7">
        <f t="shared" si="24"/>
        <v>2.5834721530220753E-3</v>
      </c>
      <c r="S72" s="3"/>
      <c r="T72" s="8">
        <v>0</v>
      </c>
      <c r="U72" s="3"/>
      <c r="V72" s="7">
        <f t="shared" si="25"/>
        <v>0</v>
      </c>
      <c r="W72" s="3"/>
      <c r="X72" s="8">
        <f t="shared" si="26"/>
        <v>5775</v>
      </c>
      <c r="Y72" s="3"/>
      <c r="Z72" s="7">
        <f t="shared" si="27"/>
        <v>0</v>
      </c>
    </row>
    <row r="73" spans="1:26" s="70" customFormat="1" ht="15" hidden="1" customHeight="1" outlineLevel="2" x14ac:dyDescent="0.25">
      <c r="A73" s="25"/>
      <c r="B73" s="12" t="str">
        <f>CONCATENATE("          ","6373"," - ","MAINTENANCE CONTRACTS")</f>
        <v xml:space="preserve">          6373 - MAINTENANCE CONTRACTS</v>
      </c>
      <c r="C73" s="12"/>
      <c r="D73" s="8">
        <v>21.85</v>
      </c>
      <c r="E73" s="3"/>
      <c r="F73" s="7">
        <f t="shared" si="20"/>
        <v>6.5925723885568632E-4</v>
      </c>
      <c r="G73" s="3"/>
      <c r="H73" s="8">
        <v>40</v>
      </c>
      <c r="I73" s="3"/>
      <c r="J73" s="7">
        <f t="shared" si="21"/>
        <v>7.1727007011314933E-4</v>
      </c>
      <c r="K73" s="3"/>
      <c r="L73" s="8">
        <f t="shared" si="22"/>
        <v>-18.149999999999999</v>
      </c>
      <c r="M73" s="3"/>
      <c r="N73" s="7">
        <f t="shared" si="23"/>
        <v>-0.45374999999999999</v>
      </c>
      <c r="O73" s="12"/>
      <c r="P73" s="8">
        <v>171.83</v>
      </c>
      <c r="Q73" s="3"/>
      <c r="R73" s="7">
        <f t="shared" si="24"/>
        <v>7.6868921221434324E-5</v>
      </c>
      <c r="S73" s="3"/>
      <c r="T73" s="8">
        <v>440</v>
      </c>
      <c r="U73" s="3"/>
      <c r="V73" s="7">
        <f t="shared" si="25"/>
        <v>9.2644276089207177E-5</v>
      </c>
      <c r="W73" s="3"/>
      <c r="X73" s="8">
        <f t="shared" si="26"/>
        <v>-268.16999999999996</v>
      </c>
      <c r="Y73" s="3"/>
      <c r="Z73" s="7">
        <f t="shared" si="27"/>
        <v>-0.60947727272727259</v>
      </c>
    </row>
    <row r="74" spans="1:26" s="70" customFormat="1" ht="15" hidden="1" customHeight="1" outlineLevel="2" x14ac:dyDescent="0.25">
      <c r="A74" s="25"/>
      <c r="B74" s="12" t="str">
        <f>CONCATENATE("          ","6375"," - ","OUTSIDE REPAIRS &amp; MAINTENANCE")</f>
        <v xml:space="preserve">          6375 - OUTSIDE REPAIRS &amp; MAINTENANCE</v>
      </c>
      <c r="C74" s="12"/>
      <c r="D74" s="8"/>
      <c r="E74" s="3"/>
      <c r="F74" s="7">
        <f t="shared" si="20"/>
        <v>0</v>
      </c>
      <c r="G74" s="3"/>
      <c r="H74" s="8">
        <v>40</v>
      </c>
      <c r="I74" s="3"/>
      <c r="J74" s="7">
        <f t="shared" si="21"/>
        <v>7.1727007011314933E-4</v>
      </c>
      <c r="K74" s="3"/>
      <c r="L74" s="8">
        <f t="shared" si="22"/>
        <v>-40</v>
      </c>
      <c r="M74" s="3"/>
      <c r="N74" s="7">
        <f t="shared" si="23"/>
        <v>-1</v>
      </c>
      <c r="O74" s="12"/>
      <c r="P74" s="8">
        <v>137.41999999999999</v>
      </c>
      <c r="Q74" s="3"/>
      <c r="R74" s="7">
        <f t="shared" si="24"/>
        <v>6.1475453379791097E-5</v>
      </c>
      <c r="S74" s="3"/>
      <c r="T74" s="8">
        <v>440</v>
      </c>
      <c r="U74" s="3"/>
      <c r="V74" s="7">
        <f t="shared" si="25"/>
        <v>9.2644276089207177E-5</v>
      </c>
      <c r="W74" s="3"/>
      <c r="X74" s="8">
        <f t="shared" si="26"/>
        <v>-302.58000000000004</v>
      </c>
      <c r="Y74" s="3"/>
      <c r="Z74" s="7">
        <f t="shared" si="27"/>
        <v>-0.68768181818181828</v>
      </c>
    </row>
    <row r="75" spans="1:26" s="69" customFormat="1" ht="15" customHeight="1" outlineLevel="1" collapsed="1" x14ac:dyDescent="0.25">
      <c r="A75" s="26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1587.59</v>
      </c>
      <c r="E75" s="2"/>
      <c r="F75" s="6">
        <f t="shared" si="20"/>
        <v>4.7900695644617804E-2</v>
      </c>
      <c r="G75" s="2"/>
      <c r="H75" s="2">
        <f>SUM(OSRRefH22_10x_0)</f>
        <v>300</v>
      </c>
      <c r="I75" s="2"/>
      <c r="J75" s="6">
        <f t="shared" si="21"/>
        <v>5.3795255258486203E-3</v>
      </c>
      <c r="K75" s="2"/>
      <c r="L75" s="2">
        <f t="shared" si="22"/>
        <v>1287.5899999999999</v>
      </c>
      <c r="M75" s="2"/>
      <c r="N75" s="6">
        <f t="shared" si="23"/>
        <v>4.2919666666666663</v>
      </c>
      <c r="O75" s="14"/>
      <c r="P75" s="2">
        <f>SUM(OSRRefP22_10x_0)</f>
        <v>6427.98</v>
      </c>
      <c r="Q75" s="2"/>
      <c r="R75" s="6">
        <f t="shared" si="24"/>
        <v>2.8755856848801452E-3</v>
      </c>
      <c r="S75" s="2"/>
      <c r="T75" s="2">
        <f>SUM(OSRRefT22_10x_0)</f>
        <v>5200</v>
      </c>
      <c r="U75" s="2"/>
      <c r="V75" s="6">
        <f t="shared" si="25"/>
        <v>1.0948868992360847E-3</v>
      </c>
      <c r="W75" s="2"/>
      <c r="X75" s="2">
        <f t="shared" si="26"/>
        <v>1227.9799999999996</v>
      </c>
      <c r="Y75" s="2"/>
      <c r="Z75" s="6">
        <f t="shared" si="27"/>
        <v>0.23614999999999992</v>
      </c>
    </row>
    <row r="76" spans="1:26" s="70" customFormat="1" ht="15" hidden="1" customHeight="1" outlineLevel="2" x14ac:dyDescent="0.25">
      <c r="A76" s="25"/>
      <c r="B76" s="12" t="str">
        <f>CONCATENATE("          ","6258"," - ","MEMBERSHIP DUES")</f>
        <v xml:space="preserve">          6258 - MEMBERSHIP DUES</v>
      </c>
      <c r="C76" s="12"/>
      <c r="D76" s="8">
        <v>143.84</v>
      </c>
      <c r="E76" s="3"/>
      <c r="F76" s="7">
        <f t="shared" si="20"/>
        <v>4.3399341527231997E-3</v>
      </c>
      <c r="G76" s="3"/>
      <c r="H76" s="8">
        <v>300</v>
      </c>
      <c r="I76" s="3"/>
      <c r="J76" s="7">
        <f t="shared" si="21"/>
        <v>5.3795255258486203E-3</v>
      </c>
      <c r="K76" s="3"/>
      <c r="L76" s="8">
        <f t="shared" si="22"/>
        <v>-156.16</v>
      </c>
      <c r="M76" s="3"/>
      <c r="N76" s="7">
        <f t="shared" si="23"/>
        <v>-0.52053333333333329</v>
      </c>
      <c r="O76" s="12"/>
      <c r="P76" s="8">
        <v>3076.59</v>
      </c>
      <c r="Q76" s="3"/>
      <c r="R76" s="7">
        <f t="shared" si="24"/>
        <v>1.3763263361499891E-3</v>
      </c>
      <c r="S76" s="3"/>
      <c r="T76" s="8">
        <v>3300</v>
      </c>
      <c r="U76" s="3"/>
      <c r="V76" s="7">
        <f t="shared" si="25"/>
        <v>6.9483207066905377E-4</v>
      </c>
      <c r="W76" s="3"/>
      <c r="X76" s="8">
        <f t="shared" si="26"/>
        <v>-223.40999999999985</v>
      </c>
      <c r="Y76" s="3"/>
      <c r="Z76" s="7">
        <f t="shared" si="27"/>
        <v>-6.7699999999999955E-2</v>
      </c>
    </row>
    <row r="77" spans="1:26" s="70" customFormat="1" ht="15" hidden="1" customHeight="1" outlineLevel="2" x14ac:dyDescent="0.25">
      <c r="A77" s="25"/>
      <c r="B77" s="12" t="str">
        <f>CONCATENATE("          ","6275"," - ","SUBSCRIPTIONS")</f>
        <v xml:space="preserve">          6275 - SUBSCRIPTIONS</v>
      </c>
      <c r="C77" s="12"/>
      <c r="D77" s="8">
        <v>1443.75</v>
      </c>
      <c r="E77" s="3"/>
      <c r="F77" s="7">
        <f t="shared" si="20"/>
        <v>4.3560761491894605E-2</v>
      </c>
      <c r="G77" s="3"/>
      <c r="H77" s="8"/>
      <c r="I77" s="3"/>
      <c r="J77" s="7">
        <f t="shared" si="21"/>
        <v>0</v>
      </c>
      <c r="K77" s="3"/>
      <c r="L77" s="8">
        <f t="shared" si="22"/>
        <v>1443.75</v>
      </c>
      <c r="M77" s="3"/>
      <c r="N77" s="7">
        <f t="shared" si="23"/>
        <v>0</v>
      </c>
      <c r="O77" s="12"/>
      <c r="P77" s="8">
        <v>3351.39</v>
      </c>
      <c r="Q77" s="3"/>
      <c r="R77" s="7">
        <f t="shared" si="24"/>
        <v>1.4992593487301563E-3</v>
      </c>
      <c r="S77" s="3"/>
      <c r="T77" s="8">
        <v>1900</v>
      </c>
      <c r="U77" s="3"/>
      <c r="V77" s="7">
        <f t="shared" si="25"/>
        <v>4.0005482856703096E-4</v>
      </c>
      <c r="W77" s="3"/>
      <c r="X77" s="8">
        <f t="shared" si="26"/>
        <v>1451.3899999999999</v>
      </c>
      <c r="Y77" s="3"/>
      <c r="Z77" s="7">
        <f t="shared" si="27"/>
        <v>0.76388947368421045</v>
      </c>
    </row>
    <row r="78" spans="1:26" s="69" customFormat="1" ht="15" customHeight="1" outlineLevel="1" collapsed="1" x14ac:dyDescent="0.25">
      <c r="A78" s="26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950.13</v>
      </c>
      <c r="E78" s="2"/>
      <c r="F78" s="6">
        <f t="shared" si="20"/>
        <v>2.8667280565398318E-2</v>
      </c>
      <c r="G78" s="2"/>
      <c r="H78" s="2">
        <f>SUM(OSRRefH22_11x_0)</f>
        <v>700</v>
      </c>
      <c r="I78" s="2"/>
      <c r="J78" s="6">
        <f t="shared" si="21"/>
        <v>1.2552226226980113E-2</v>
      </c>
      <c r="K78" s="2"/>
      <c r="L78" s="2">
        <f t="shared" si="22"/>
        <v>250.13</v>
      </c>
      <c r="M78" s="2"/>
      <c r="N78" s="6">
        <f t="shared" si="23"/>
        <v>0.35732857142857144</v>
      </c>
      <c r="O78" s="14"/>
      <c r="P78" s="2">
        <f>SUM(OSRRefP22_11x_0)</f>
        <v>2483.75</v>
      </c>
      <c r="Q78" s="2"/>
      <c r="R78" s="6">
        <f t="shared" si="24"/>
        <v>1.1111167030421782E-3</v>
      </c>
      <c r="S78" s="2"/>
      <c r="T78" s="2">
        <f>SUM(OSRRefT22_11x_0)</f>
        <v>9400</v>
      </c>
      <c r="U78" s="2"/>
      <c r="V78" s="6">
        <f t="shared" si="25"/>
        <v>1.9792186255421533E-3</v>
      </c>
      <c r="W78" s="2"/>
      <c r="X78" s="2">
        <f t="shared" si="26"/>
        <v>-6916.25</v>
      </c>
      <c r="Y78" s="2"/>
      <c r="Z78" s="6">
        <f t="shared" si="27"/>
        <v>-0.73577127659574471</v>
      </c>
    </row>
    <row r="79" spans="1:26" s="70" customFormat="1" ht="15" hidden="1" customHeight="1" outlineLevel="2" x14ac:dyDescent="0.25">
      <c r="A79" s="25"/>
      <c r="B79" s="12" t="str">
        <f>CONCATENATE("          ","6241"," - ","OFFICE EXPENSE")</f>
        <v xml:space="preserve">          6241 - OFFICE EXPENSE</v>
      </c>
      <c r="C79" s="12"/>
      <c r="D79" s="8">
        <v>433.78</v>
      </c>
      <c r="E79" s="3"/>
      <c r="F79" s="7">
        <f t="shared" si="20"/>
        <v>1.3087991078756045E-2</v>
      </c>
      <c r="G79" s="3"/>
      <c r="H79" s="8">
        <v>300</v>
      </c>
      <c r="I79" s="3"/>
      <c r="J79" s="7">
        <f t="shared" si="21"/>
        <v>5.3795255258486203E-3</v>
      </c>
      <c r="K79" s="3"/>
      <c r="L79" s="8">
        <f t="shared" si="22"/>
        <v>133.77999999999997</v>
      </c>
      <c r="M79" s="3"/>
      <c r="N79" s="7">
        <f t="shared" si="23"/>
        <v>0.44593333333333324</v>
      </c>
      <c r="O79" s="12"/>
      <c r="P79" s="8">
        <v>1772.37</v>
      </c>
      <c r="Q79" s="3"/>
      <c r="R79" s="7">
        <f t="shared" si="24"/>
        <v>7.928776692383957E-4</v>
      </c>
      <c r="S79" s="3"/>
      <c r="T79" s="8">
        <v>4500</v>
      </c>
      <c r="U79" s="3"/>
      <c r="V79" s="7">
        <f t="shared" si="25"/>
        <v>9.4749827818507335E-4</v>
      </c>
      <c r="W79" s="3"/>
      <c r="X79" s="8">
        <f t="shared" si="26"/>
        <v>-2727.63</v>
      </c>
      <c r="Y79" s="3"/>
      <c r="Z79" s="7">
        <f t="shared" si="27"/>
        <v>-0.60614000000000001</v>
      </c>
    </row>
    <row r="80" spans="1:26" s="70" customFormat="1" ht="15" hidden="1" customHeight="1" outlineLevel="2" x14ac:dyDescent="0.25">
      <c r="A80" s="25"/>
      <c r="B80" s="12" t="str">
        <f>CONCATENATE("          ","6247"," - ","STORE SUPPLIES")</f>
        <v xml:space="preserve">          6247 - STORE SUPPLIES</v>
      </c>
      <c r="C80" s="12"/>
      <c r="D80" s="8">
        <v>516.35</v>
      </c>
      <c r="E80" s="3"/>
      <c r="F80" s="7">
        <f t="shared" si="20"/>
        <v>1.5579289486642271E-2</v>
      </c>
      <c r="G80" s="3"/>
      <c r="H80" s="8">
        <v>400</v>
      </c>
      <c r="I80" s="3"/>
      <c r="J80" s="7">
        <f t="shared" si="21"/>
        <v>7.1727007011314937E-3</v>
      </c>
      <c r="K80" s="3"/>
      <c r="L80" s="8">
        <f t="shared" si="22"/>
        <v>116.35000000000002</v>
      </c>
      <c r="M80" s="3"/>
      <c r="N80" s="7">
        <f t="shared" si="23"/>
        <v>0.29087500000000005</v>
      </c>
      <c r="O80" s="12"/>
      <c r="P80" s="8">
        <v>711.38</v>
      </c>
      <c r="Q80" s="3"/>
      <c r="R80" s="7">
        <f t="shared" si="24"/>
        <v>3.1823903380378247E-4</v>
      </c>
      <c r="S80" s="3"/>
      <c r="T80" s="8">
        <v>4900</v>
      </c>
      <c r="U80" s="3"/>
      <c r="V80" s="7">
        <f t="shared" si="25"/>
        <v>1.0317203473570798E-3</v>
      </c>
      <c r="W80" s="3"/>
      <c r="X80" s="8">
        <f t="shared" si="26"/>
        <v>-4188.62</v>
      </c>
      <c r="Y80" s="3"/>
      <c r="Z80" s="7">
        <f t="shared" si="27"/>
        <v>-0.85482040816326532</v>
      </c>
    </row>
    <row r="81" spans="1:26" s="69" customFormat="1" ht="15" customHeight="1" outlineLevel="1" collapsed="1" x14ac:dyDescent="0.25">
      <c r="A81" s="26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483.05</v>
      </c>
      <c r="E81" s="2"/>
      <c r="F81" s="6">
        <f t="shared" si="20"/>
        <v>1.4574563351452598E-2</v>
      </c>
      <c r="G81" s="2"/>
      <c r="H81" s="2">
        <f>SUM(OSRRefH22_12x_0)</f>
        <v>350</v>
      </c>
      <c r="I81" s="2"/>
      <c r="J81" s="6">
        <f t="shared" si="21"/>
        <v>6.2761131134900566E-3</v>
      </c>
      <c r="K81" s="2"/>
      <c r="L81" s="2">
        <f t="shared" si="22"/>
        <v>133.05000000000001</v>
      </c>
      <c r="M81" s="2"/>
      <c r="N81" s="6">
        <f t="shared" si="23"/>
        <v>0.38014285714285717</v>
      </c>
      <c r="O81" s="14"/>
      <c r="P81" s="2">
        <f>SUM(OSRRefP22_12x_0)</f>
        <v>5959.6</v>
      </c>
      <c r="Q81" s="2"/>
      <c r="R81" s="6">
        <f t="shared" si="24"/>
        <v>2.6660537910217076E-3</v>
      </c>
      <c r="S81" s="2"/>
      <c r="T81" s="2">
        <f>SUM(OSRRefT22_12x_0)</f>
        <v>4450</v>
      </c>
      <c r="U81" s="2"/>
      <c r="V81" s="6">
        <f t="shared" si="25"/>
        <v>9.3697051953857251E-4</v>
      </c>
      <c r="W81" s="2"/>
      <c r="X81" s="2">
        <f t="shared" si="26"/>
        <v>1509.6000000000004</v>
      </c>
      <c r="Y81" s="2"/>
      <c r="Z81" s="6">
        <f t="shared" si="27"/>
        <v>0.33923595505617987</v>
      </c>
    </row>
    <row r="82" spans="1:26" s="70" customFormat="1" ht="15" hidden="1" customHeight="1" outlineLevel="2" x14ac:dyDescent="0.25">
      <c r="A82" s="25"/>
      <c r="B82" s="12" t="str">
        <f>CONCATENATE("          ","6303"," - ","DATA PHONE LINES")</f>
        <v xml:space="preserve">          6303 - DATA PHONE LINES</v>
      </c>
      <c r="C82" s="12"/>
      <c r="D82" s="8"/>
      <c r="E82" s="3"/>
      <c r="F82" s="7">
        <f t="shared" si="20"/>
        <v>0</v>
      </c>
      <c r="G82" s="3"/>
      <c r="H82" s="8">
        <v>0</v>
      </c>
      <c r="I82" s="3"/>
      <c r="J82" s="7">
        <f t="shared" si="21"/>
        <v>0</v>
      </c>
      <c r="K82" s="3"/>
      <c r="L82" s="8">
        <f t="shared" si="22"/>
        <v>0</v>
      </c>
      <c r="M82" s="3"/>
      <c r="N82" s="7">
        <f t="shared" si="23"/>
        <v>0</v>
      </c>
      <c r="O82" s="12"/>
      <c r="P82" s="8">
        <v>295</v>
      </c>
      <c r="Q82" s="3"/>
      <c r="R82" s="7">
        <f t="shared" si="24"/>
        <v>1.3196957318467744E-4</v>
      </c>
      <c r="S82" s="3"/>
      <c r="T82" s="8">
        <v>0</v>
      </c>
      <c r="U82" s="3"/>
      <c r="V82" s="7">
        <f t="shared" si="25"/>
        <v>0</v>
      </c>
      <c r="W82" s="3"/>
      <c r="X82" s="8">
        <f t="shared" si="26"/>
        <v>295</v>
      </c>
      <c r="Y82" s="3"/>
      <c r="Z82" s="7">
        <f t="shared" si="27"/>
        <v>0</v>
      </c>
    </row>
    <row r="83" spans="1:26" s="70" customFormat="1" ht="15" hidden="1" customHeight="1" outlineLevel="2" x14ac:dyDescent="0.25">
      <c r="A83" s="25"/>
      <c r="B83" s="12" t="str">
        <f>CONCATENATE("          ","6309"," - ","TELEPHONE")</f>
        <v xml:space="preserve">          6309 - TELEPHONE</v>
      </c>
      <c r="C83" s="12"/>
      <c r="D83" s="8">
        <v>483.05</v>
      </c>
      <c r="E83" s="3"/>
      <c r="F83" s="7">
        <f t="shared" si="20"/>
        <v>1.4574563351452598E-2</v>
      </c>
      <c r="G83" s="3"/>
      <c r="H83" s="8">
        <v>350</v>
      </c>
      <c r="I83" s="3"/>
      <c r="J83" s="7">
        <f t="shared" si="21"/>
        <v>6.2761131134900566E-3</v>
      </c>
      <c r="K83" s="3"/>
      <c r="L83" s="8">
        <f t="shared" si="22"/>
        <v>133.05000000000001</v>
      </c>
      <c r="M83" s="3"/>
      <c r="N83" s="7">
        <f t="shared" si="23"/>
        <v>0.38014285714285717</v>
      </c>
      <c r="O83" s="12"/>
      <c r="P83" s="8">
        <v>5664.6</v>
      </c>
      <c r="Q83" s="3"/>
      <c r="R83" s="7">
        <f t="shared" si="24"/>
        <v>2.5340842178370299E-3</v>
      </c>
      <c r="S83" s="3"/>
      <c r="T83" s="8">
        <v>4450</v>
      </c>
      <c r="U83" s="3"/>
      <c r="V83" s="7">
        <f t="shared" si="25"/>
        <v>9.3697051953857251E-4</v>
      </c>
      <c r="W83" s="3"/>
      <c r="X83" s="8">
        <f t="shared" si="26"/>
        <v>1214.6000000000004</v>
      </c>
      <c r="Y83" s="3"/>
      <c r="Z83" s="7">
        <f t="shared" si="27"/>
        <v>0.27294382022471919</v>
      </c>
    </row>
    <row r="84" spans="1:26" s="69" customFormat="1" ht="15" customHeight="1" outlineLevel="1" collapsed="1" x14ac:dyDescent="0.25">
      <c r="A84" s="26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0</v>
      </c>
      <c r="E84" s="2"/>
      <c r="F84" s="6">
        <f t="shared" si="20"/>
        <v>0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SUM(OSRRefP22_13x_0)</f>
        <v>125</v>
      </c>
      <c r="Q84" s="2"/>
      <c r="R84" s="6">
        <f t="shared" si="24"/>
        <v>5.5919310671473489E-5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125</v>
      </c>
      <c r="Y84" s="2"/>
      <c r="Z84" s="6">
        <f t="shared" si="27"/>
        <v>0</v>
      </c>
    </row>
    <row r="85" spans="1:26" s="70" customFormat="1" ht="15" hidden="1" customHeight="1" outlineLevel="2" x14ac:dyDescent="0.25">
      <c r="A85" s="25"/>
      <c r="B85" s="12" t="str">
        <f>CONCATENATE("          ","6376"," - ","TRAINING")</f>
        <v xml:space="preserve">          6376 - TRAINING</v>
      </c>
      <c r="C85" s="12"/>
      <c r="D85" s="8"/>
      <c r="E85" s="3"/>
      <c r="F85" s="7">
        <f t="shared" si="20"/>
        <v>0</v>
      </c>
      <c r="G85" s="3"/>
      <c r="H85" s="8">
        <v>0</v>
      </c>
      <c r="I85" s="3"/>
      <c r="J85" s="7">
        <f t="shared" si="21"/>
        <v>0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>
        <v>125</v>
      </c>
      <c r="Q85" s="3"/>
      <c r="R85" s="7">
        <f t="shared" si="24"/>
        <v>5.5919310671473489E-5</v>
      </c>
      <c r="S85" s="3"/>
      <c r="T85" s="8">
        <v>0</v>
      </c>
      <c r="U85" s="3"/>
      <c r="V85" s="7">
        <f t="shared" si="25"/>
        <v>0</v>
      </c>
      <c r="W85" s="3"/>
      <c r="X85" s="8">
        <f t="shared" si="26"/>
        <v>125</v>
      </c>
      <c r="Y85" s="3"/>
      <c r="Z85" s="7">
        <f t="shared" si="27"/>
        <v>0</v>
      </c>
    </row>
    <row r="86" spans="1:26" s="65" customFormat="1" ht="15" customHeight="1" x14ac:dyDescent="0.25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25">
      <c r="A87" s="11"/>
      <c r="B87" s="27" t="s">
        <v>291</v>
      </c>
      <c r="C87" s="11"/>
      <c r="D87" s="5">
        <f>SUM(OSRRefD25x_0)</f>
        <v>2412.0299999999997</v>
      </c>
      <c r="E87" s="5"/>
      <c r="F87" s="13">
        <f>IF(D$12=0,0,D87/D$12)</f>
        <v>7.2775663058905302E-2</v>
      </c>
      <c r="G87" s="5"/>
      <c r="H87" s="5">
        <f>SUM(OSRRefH25x_0)</f>
        <v>6454</v>
      </c>
      <c r="I87" s="5"/>
      <c r="J87" s="13">
        <f>IF(H$12=0,0,H87/H$12)</f>
        <v>0.11573152581275664</v>
      </c>
      <c r="K87" s="5"/>
      <c r="L87" s="5">
        <f>+D87-H87</f>
        <v>-4041.9700000000003</v>
      </c>
      <c r="M87" s="5"/>
      <c r="N87" s="13">
        <f>IF(H87=0,0,L87/H87)</f>
        <v>-0.62627362875735981</v>
      </c>
      <c r="O87" s="11"/>
      <c r="P87" s="5">
        <f>SUM(OSRRefP25x_0)</f>
        <v>359676.87</v>
      </c>
      <c r="Q87" s="5"/>
      <c r="R87" s="13">
        <f>IF(P$12=0,0,P87/P$12)</f>
        <v>0.16090306107898547</v>
      </c>
      <c r="S87" s="5"/>
      <c r="T87" s="5">
        <f>SUM(OSRRefT25x_0)</f>
        <v>366770.23</v>
      </c>
      <c r="U87" s="5"/>
      <c r="V87" s="13">
        <f>IF(T$12=0,0,T87/T$12)</f>
        <v>7.722536920323185E-2</v>
      </c>
      <c r="W87" s="5"/>
      <c r="X87" s="5">
        <f>+P87-T87</f>
        <v>-7093.359999999986</v>
      </c>
      <c r="Y87" s="5"/>
      <c r="Z87" s="13">
        <f>IF(T87=0,0,X87/T87)</f>
        <v>-1.9340064759345344E-2</v>
      </c>
    </row>
    <row r="88" spans="1:26" s="70" customFormat="1" ht="15" hidden="1" customHeight="1" outlineLevel="1" x14ac:dyDescent="0.25">
      <c r="A88" s="42"/>
      <c r="B88" s="12" t="str">
        <f>CONCATENATE("          ","9150"," - ","MISC. INCOME")</f>
        <v xml:space="preserve">          9150 - MISC. INCOME</v>
      </c>
      <c r="C88" s="12"/>
      <c r="D88" s="3">
        <f>--427.31</f>
        <v>427.31</v>
      </c>
      <c r="E88" s="3"/>
      <c r="F88" s="20">
        <f>IF(D$12=0,0,D88/D$12)</f>
        <v>1.2892778523360335E-2</v>
      </c>
      <c r="G88" s="3"/>
      <c r="H88" s="3">
        <v>6454</v>
      </c>
      <c r="I88" s="3"/>
      <c r="J88" s="20">
        <f>IF(H$12=0,0,H88/H$12)</f>
        <v>0.11573152581275664</v>
      </c>
      <c r="K88" s="3"/>
      <c r="L88" s="3">
        <f>+D88-H88</f>
        <v>-6026.69</v>
      </c>
      <c r="M88" s="3"/>
      <c r="N88" s="20">
        <f>IF(H88=0,0,L88/H88)</f>
        <v>-0.93379144716454909</v>
      </c>
      <c r="O88" s="12"/>
      <c r="P88" s="3">
        <f>--30042.02</f>
        <v>30042.02</v>
      </c>
      <c r="Q88" s="3"/>
      <c r="R88" s="20">
        <f>IF(P$12=0,0,P88/P$12)</f>
        <v>1.343943239662896E-2</v>
      </c>
      <c r="S88" s="3"/>
      <c r="T88" s="3">
        <v>38908</v>
      </c>
      <c r="U88" s="3"/>
      <c r="V88" s="20">
        <f>IF(T$12=0,0,T88/T$12)</f>
        <v>8.1922806683610745E-3</v>
      </c>
      <c r="W88" s="3"/>
      <c r="X88" s="3">
        <f>+P88-T88</f>
        <v>-8865.98</v>
      </c>
      <c r="Y88" s="3"/>
      <c r="Z88" s="20">
        <f>IF(T88=0,0,X88/T88)</f>
        <v>-0.2278703608512388</v>
      </c>
    </row>
    <row r="89" spans="1:26" s="70" customFormat="1" ht="15" hidden="1" customHeight="1" outlineLevel="1" x14ac:dyDescent="0.25">
      <c r="A89" s="42"/>
      <c r="B89" s="12" t="str">
        <f>CONCATENATE("          ","9151"," - ","MISC. INCOME")</f>
        <v xml:space="preserve">          9151 - MISC. INCOME</v>
      </c>
      <c r="C89" s="12"/>
      <c r="D89" s="3">
        <f>--626.04</f>
        <v>626.04</v>
      </c>
      <c r="E89" s="3"/>
      <c r="F89" s="20">
        <f>IF(D$12=0,0,D89/D$12)</f>
        <v>1.888885134156585E-2</v>
      </c>
      <c r="G89" s="3"/>
      <c r="H89" s="3">
        <v>0</v>
      </c>
      <c r="I89" s="3"/>
      <c r="J89" s="20">
        <f>IF(H$12=0,0,H89/H$12)</f>
        <v>0</v>
      </c>
      <c r="K89" s="3"/>
      <c r="L89" s="3">
        <f>+D89-H89</f>
        <v>626.04</v>
      </c>
      <c r="M89" s="3"/>
      <c r="N89" s="20">
        <f>IF(H89=0,0,L89/H89)</f>
        <v>0</v>
      </c>
      <c r="O89" s="12"/>
      <c r="P89" s="3">
        <f>--324387.74</f>
        <v>324387.74</v>
      </c>
      <c r="Q89" s="3"/>
      <c r="R89" s="20">
        <f>IF(P$12=0,0,P89/P$12)</f>
        <v>0.14511631048861734</v>
      </c>
      <c r="S89" s="3"/>
      <c r="T89" s="3">
        <v>327862.23</v>
      </c>
      <c r="U89" s="3"/>
      <c r="V89" s="20">
        <f>IF(T$12=0,0,T89/T$12)</f>
        <v>6.9033088534870779E-2</v>
      </c>
      <c r="W89" s="3"/>
      <c r="X89" s="3">
        <f>+P89-T89</f>
        <v>-3474.4899999999907</v>
      </c>
      <c r="Y89" s="3"/>
      <c r="Z89" s="20">
        <f>IF(T89=0,0,X89/T89)</f>
        <v>-1.0597408551756605E-2</v>
      </c>
    </row>
    <row r="90" spans="1:26" s="70" customFormat="1" ht="15" hidden="1" customHeight="1" outlineLevel="1" x14ac:dyDescent="0.25">
      <c r="A90" s="42"/>
      <c r="B90" s="12" t="str">
        <f>CONCATENATE("          ","9152"," - ","MISC. INCOME")</f>
        <v xml:space="preserve">          9152 - MISC. INCOME</v>
      </c>
      <c r="C90" s="12"/>
      <c r="D90" s="3">
        <f>--1358.68</f>
        <v>1358.68</v>
      </c>
      <c r="E90" s="3"/>
      <c r="F90" s="20">
        <f>IF(D$12=0,0,D90/D$12)</f>
        <v>4.0994033193979124E-2</v>
      </c>
      <c r="G90" s="3"/>
      <c r="H90" s="3"/>
      <c r="I90" s="3"/>
      <c r="J90" s="20">
        <f>IF(H$12=0,0,H90/H$12)</f>
        <v>0</v>
      </c>
      <c r="K90" s="3"/>
      <c r="L90" s="3">
        <f>+D90-H90</f>
        <v>1358.68</v>
      </c>
      <c r="M90" s="3"/>
      <c r="N90" s="20">
        <f>IF(H90=0,0,L90/H90)</f>
        <v>0</v>
      </c>
      <c r="O90" s="12"/>
      <c r="P90" s="3">
        <f>--5247.11</f>
        <v>5247.11</v>
      </c>
      <c r="Q90" s="3"/>
      <c r="R90" s="20">
        <f>IF(P$12=0,0,P90/P$12)</f>
        <v>2.347318193739162E-3</v>
      </c>
      <c r="S90" s="3"/>
      <c r="T90" s="3"/>
      <c r="U90" s="3"/>
      <c r="V90" s="20">
        <f>IF(T$12=0,0,T90/T$12)</f>
        <v>0</v>
      </c>
      <c r="W90" s="3"/>
      <c r="X90" s="3">
        <f>+P90-T90</f>
        <v>5247.11</v>
      </c>
      <c r="Y90" s="3"/>
      <c r="Z90" s="20">
        <f>IF(T90=0,0,X90/T90)</f>
        <v>0</v>
      </c>
    </row>
    <row r="91" spans="1:26" s="70" customFormat="1" ht="15" hidden="1" customHeight="1" outlineLevel="1" x14ac:dyDescent="0.25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25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25">
      <c r="A93" s="11"/>
      <c r="B93" s="28" t="s">
        <v>292</v>
      </c>
      <c r="C93" s="28"/>
      <c r="D93" s="22">
        <f>+D31-D33+D87</f>
        <v>-23244.550000000003</v>
      </c>
      <c r="E93" s="15"/>
      <c r="F93" s="21">
        <f>IF(D$12=0,0,D93/D$12)</f>
        <v>-0.70133354011180526</v>
      </c>
      <c r="G93" s="15"/>
      <c r="H93" s="22">
        <f>+H31-H33+H87</f>
        <v>-23262.145897489718</v>
      </c>
      <c r="I93" s="15"/>
      <c r="J93" s="21">
        <f>IF(H$12=0,0,H93/H$12)</f>
        <v>-0.41713102547186898</v>
      </c>
      <c r="K93" s="16"/>
      <c r="L93" s="22">
        <f>+D93-H93</f>
        <v>17.595897489714844</v>
      </c>
      <c r="M93" s="16"/>
      <c r="N93" s="21">
        <f>IF(H93=0,0,L93/H93)</f>
        <v>-7.5641763950993297E-4</v>
      </c>
      <c r="O93" s="27"/>
      <c r="P93" s="22">
        <f>+P31-P33+P87</f>
        <v>406975.40999999986</v>
      </c>
      <c r="Q93" s="15"/>
      <c r="R93" s="21">
        <f>IF(P$12=0,0,P93/P$12)</f>
        <v>0.18206227509952233</v>
      </c>
      <c r="S93" s="15"/>
      <c r="T93" s="22">
        <f>+T31-T33+T87</f>
        <v>1085492.8108981228</v>
      </c>
      <c r="U93" s="15"/>
      <c r="V93" s="21">
        <f>IF(T$12=0,0,T93/T$12)</f>
        <v>0.22855612651294374</v>
      </c>
      <c r="W93" s="16"/>
      <c r="X93" s="22">
        <f>+P93-T93</f>
        <v>-678517.40089812293</v>
      </c>
      <c r="Y93" s="16"/>
      <c r="Z93" s="21">
        <f>IF(T93=0,0,X93/T93)</f>
        <v>-0.625077747255393</v>
      </c>
    </row>
    <row r="94" spans="1:26" ht="15" customHeight="1" x14ac:dyDescent="0.25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25">
      <c r="A95" s="49"/>
      <c r="B95" s="11" t="s">
        <v>293</v>
      </c>
      <c r="C95" s="11"/>
      <c r="D95" s="5">
        <v>1835.49</v>
      </c>
      <c r="E95" s="5"/>
      <c r="F95" s="13">
        <f>IF(D$12=0,0,D95/D$12)</f>
        <v>5.5380323539918702E-2</v>
      </c>
      <c r="G95" s="5"/>
      <c r="H95" s="5">
        <v>11362</v>
      </c>
      <c r="I95" s="5"/>
      <c r="J95" s="13">
        <f>IF(H$12=0,0,H95/H$12)</f>
        <v>0.20374056341564006</v>
      </c>
      <c r="K95" s="5"/>
      <c r="L95" s="5">
        <f>+D95-H95</f>
        <v>-9526.51</v>
      </c>
      <c r="M95" s="5"/>
      <c r="N95" s="13">
        <f>IF(H95=0,0,L95/H95)</f>
        <v>-0.83845361732089418</v>
      </c>
      <c r="O95" s="11"/>
      <c r="P95" s="5">
        <v>251311.56</v>
      </c>
      <c r="Q95" s="5"/>
      <c r="R95" s="13">
        <f>IF(P$12=0,0,P95/P$12)</f>
        <v>0.1124253535917812</v>
      </c>
      <c r="S95" s="5"/>
      <c r="T95" s="5">
        <v>588739</v>
      </c>
      <c r="U95" s="5"/>
      <c r="V95" s="13">
        <f>IF(T$12=0,0,T95/T$12)</f>
        <v>0.12396204195564486</v>
      </c>
      <c r="W95" s="5"/>
      <c r="X95" s="5">
        <f>+P95-T95</f>
        <v>-337427.44</v>
      </c>
      <c r="Y95" s="5"/>
      <c r="Z95" s="13">
        <f>IF(T95=0,0,X95/T95)</f>
        <v>-0.57313587175301794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294</v>
      </c>
      <c r="C97" s="28"/>
      <c r="D97" s="34">
        <f>+D93-D95</f>
        <v>-25080.040000000005</v>
      </c>
      <c r="E97" s="15"/>
      <c r="F97" s="32">
        <f>IF(D$12=0,0,D97/D$12)</f>
        <v>-0.75671386365172399</v>
      </c>
      <c r="G97" s="15"/>
      <c r="H97" s="34">
        <f>+H93-H95</f>
        <v>-34624.145897489718</v>
      </c>
      <c r="I97" s="15"/>
      <c r="J97" s="32">
        <f>IF(H$12=0,0,H97/H$12)</f>
        <v>-0.62087158888750904</v>
      </c>
      <c r="K97" s="16"/>
      <c r="L97" s="34">
        <f>D97-H97</f>
        <v>9544.1058974897132</v>
      </c>
      <c r="M97" s="16"/>
      <c r="N97" s="32">
        <f>IF(H97=0,0,L97/H97)</f>
        <v>-0.27564884707182535</v>
      </c>
      <c r="O97" s="27"/>
      <c r="P97" s="34">
        <f>+P93-P95</f>
        <v>155663.84999999986</v>
      </c>
      <c r="Q97" s="15"/>
      <c r="R97" s="32">
        <f>IF(P$12=0,0,P97/P$12)</f>
        <v>6.9636921507741131E-2</v>
      </c>
      <c r="S97" s="15"/>
      <c r="T97" s="34">
        <f>+T93-T95</f>
        <v>496753.81089812284</v>
      </c>
      <c r="U97" s="15"/>
      <c r="V97" s="32">
        <f>IF(T$12=0,0,T97/T$12)</f>
        <v>0.10459408455729888</v>
      </c>
      <c r="W97" s="16"/>
      <c r="X97" s="34">
        <f>P97-T97</f>
        <v>-341089.96089812298</v>
      </c>
      <c r="Y97" s="16"/>
      <c r="Z97" s="32">
        <f>IF(T97=0,0,X97/T97)</f>
        <v>-0.68663783430556447</v>
      </c>
    </row>
    <row r="98" spans="1:26" ht="15" customHeight="1" x14ac:dyDescent="0.25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25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25">
      <c r="A100" s="11"/>
      <c r="B100" s="28" t="s">
        <v>297</v>
      </c>
      <c r="C100" s="28"/>
      <c r="D100" s="30">
        <f>SUM(D97:D99)</f>
        <v>-25080.040000000005</v>
      </c>
      <c r="E100" s="15"/>
      <c r="F100" s="33">
        <f>IF(D$12=0,0,D100/D$12)</f>
        <v>-0.75671386365172399</v>
      </c>
      <c r="G100" s="15"/>
      <c r="H100" s="30">
        <f>SUM(H97:H99)</f>
        <v>-34624.145897489718</v>
      </c>
      <c r="I100" s="15"/>
      <c r="J100" s="33">
        <f>IF(H$12=0,0,H100/H$12)</f>
        <v>-0.62087158888750904</v>
      </c>
      <c r="K100" s="16"/>
      <c r="L100" s="30">
        <f>+D100-H100</f>
        <v>9544.1058974897132</v>
      </c>
      <c r="M100" s="16"/>
      <c r="N100" s="33">
        <f>IF(H100=0,0,L100/H100)</f>
        <v>-0.27564884707182535</v>
      </c>
      <c r="O100" s="27"/>
      <c r="P100" s="30">
        <f>SUM(P97:P99)</f>
        <v>155663.84999999986</v>
      </c>
      <c r="Q100" s="15"/>
      <c r="R100" s="33">
        <f>IF(P$12=0,0,P100/P$12)</f>
        <v>6.9636921507741131E-2</v>
      </c>
      <c r="S100" s="15"/>
      <c r="T100" s="30">
        <f>SUM(T97:T99)</f>
        <v>496753.81089812284</v>
      </c>
      <c r="U100" s="15"/>
      <c r="V100" s="33">
        <f>IF(T$12=0,0,T100/T$12)</f>
        <v>0.10459408455729888</v>
      </c>
      <c r="W100" s="16"/>
      <c r="X100" s="30">
        <f>+P100-T100</f>
        <v>-341089.96089812298</v>
      </c>
      <c r="Y100" s="16"/>
      <c r="Z100" s="33">
        <f>IF(T100=0,0,X100/T100)</f>
        <v>-0.68663783430556447</v>
      </c>
    </row>
    <row r="101" spans="1:26" ht="15" customHeight="1" x14ac:dyDescent="0.25">
      <c r="A101" s="10"/>
      <c r="C101" s="10"/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A102" s="10"/>
      <c r="B102" s="54">
        <v>44727.874501273145</v>
      </c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A103" s="10"/>
      <c r="B103" s="50" t="s">
        <v>298</v>
      </c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25">
      <c r="A104" s="10"/>
      <c r="B104" s="58"/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  <row r="105" spans="1:26" ht="15" customHeight="1" x14ac:dyDescent="0.25"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21911-020D-3DC6-57B9-1F24ABC64704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","311"," - ","Textbooks")</f>
        <v>Department 311 - Textbooks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23286.019999999997</v>
      </c>
      <c r="E12" s="5"/>
      <c r="F12" s="13"/>
      <c r="G12" s="5"/>
      <c r="H12" s="5">
        <f>SUM(OSRRefH13x_0)</f>
        <v>49167</v>
      </c>
      <c r="I12" s="5"/>
      <c r="J12" s="13"/>
      <c r="K12" s="5"/>
      <c r="L12" s="5">
        <f t="shared" ref="L12:L17" si="0">+D12-H12</f>
        <v>-25880.980000000003</v>
      </c>
      <c r="M12" s="5"/>
      <c r="N12" s="13">
        <f t="shared" ref="N12:N17" si="1">IF(H12=0,0,L12/H12)</f>
        <v>-0.52638924481867921</v>
      </c>
      <c r="O12" s="11"/>
      <c r="P12" s="5">
        <f>SUM(OSRRefP13x_0)</f>
        <v>1790494.2</v>
      </c>
      <c r="Q12" s="5"/>
      <c r="R12" s="13"/>
      <c r="S12" s="5"/>
      <c r="T12" s="5">
        <f>SUM(OSRRefT13x_0)</f>
        <v>3209155</v>
      </c>
      <c r="U12" s="5"/>
      <c r="V12" s="13"/>
      <c r="W12" s="5"/>
      <c r="X12" s="5">
        <f t="shared" ref="X12:X17" si="2">+P12-T12</f>
        <v>-1418660.8</v>
      </c>
      <c r="Y12" s="5"/>
      <c r="Z12" s="13">
        <f t="shared" ref="Z12:Z17" si="3">IF(T12=0,0,X12/T12)</f>
        <v>-0.44206677458707977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--23794.17</f>
        <v>23794.17</v>
      </c>
      <c r="E13" s="3"/>
      <c r="F13" s="20"/>
      <c r="G13" s="3"/>
      <c r="H13" s="3">
        <v>49167</v>
      </c>
      <c r="I13" s="3"/>
      <c r="J13" s="20"/>
      <c r="K13" s="3"/>
      <c r="L13" s="3">
        <f t="shared" si="0"/>
        <v>-25372.83</v>
      </c>
      <c r="M13" s="3"/>
      <c r="N13" s="20">
        <f t="shared" si="1"/>
        <v>-0.51605406065043635</v>
      </c>
      <c r="O13" s="12"/>
      <c r="P13" s="3">
        <f>--1417949.37</f>
        <v>1417949.37</v>
      </c>
      <c r="Q13" s="3"/>
      <c r="R13" s="20"/>
      <c r="S13" s="3"/>
      <c r="T13" s="3">
        <v>3209155</v>
      </c>
      <c r="U13" s="3"/>
      <c r="V13" s="20"/>
      <c r="W13" s="3"/>
      <c r="X13" s="3">
        <f t="shared" si="2"/>
        <v>-1791205.63</v>
      </c>
      <c r="Y13" s="3"/>
      <c r="Z13" s="20">
        <f t="shared" si="3"/>
        <v>-0.55815491305343612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--6017.15</f>
        <v>6017.15</v>
      </c>
      <c r="E14" s="3"/>
      <c r="F14" s="20"/>
      <c r="G14" s="3"/>
      <c r="H14" s="3"/>
      <c r="I14" s="3"/>
      <c r="J14" s="20"/>
      <c r="K14" s="3"/>
      <c r="L14" s="3">
        <f t="shared" si="0"/>
        <v>6017.15</v>
      </c>
      <c r="M14" s="3"/>
      <c r="N14" s="20">
        <f t="shared" si="1"/>
        <v>0</v>
      </c>
      <c r="O14" s="12"/>
      <c r="P14" s="3">
        <f>--477385.27</f>
        <v>477385.27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477385.27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-6055.15</f>
        <v>-6055.15</v>
      </c>
      <c r="E15" s="3"/>
      <c r="F15" s="20"/>
      <c r="G15" s="3"/>
      <c r="H15" s="3"/>
      <c r="I15" s="3"/>
      <c r="J15" s="20"/>
      <c r="K15" s="3"/>
      <c r="L15" s="3">
        <f t="shared" si="0"/>
        <v>-6055.15</v>
      </c>
      <c r="M15" s="3"/>
      <c r="N15" s="20">
        <f t="shared" si="1"/>
        <v>0</v>
      </c>
      <c r="O15" s="12"/>
      <c r="P15" s="3">
        <f>-58807.02</f>
        <v>-58807.02</v>
      </c>
      <c r="Q15" s="3"/>
      <c r="R15" s="20"/>
      <c r="S15" s="3"/>
      <c r="T15" s="3"/>
      <c r="U15" s="3"/>
      <c r="V15" s="20"/>
      <c r="W15" s="3"/>
      <c r="X15" s="3">
        <f t="shared" si="2"/>
        <v>-58807.02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-207.66</f>
        <v>-207.66</v>
      </c>
      <c r="E16" s="3"/>
      <c r="F16" s="20"/>
      <c r="G16" s="3"/>
      <c r="H16" s="3"/>
      <c r="I16" s="3"/>
      <c r="J16" s="20"/>
      <c r="K16" s="3"/>
      <c r="L16" s="3">
        <f t="shared" si="0"/>
        <v>-207.66</v>
      </c>
      <c r="M16" s="3"/>
      <c r="N16" s="20">
        <f t="shared" si="1"/>
        <v>0</v>
      </c>
      <c r="O16" s="12"/>
      <c r="P16" s="3">
        <f>-38274.37</f>
        <v>-38274.370000000003</v>
      </c>
      <c r="Q16" s="3"/>
      <c r="R16" s="20"/>
      <c r="S16" s="3"/>
      <c r="T16" s="3"/>
      <c r="U16" s="3"/>
      <c r="V16" s="20"/>
      <c r="W16" s="3"/>
      <c r="X16" s="3">
        <f t="shared" si="2"/>
        <v>-38274.370000000003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-262.49</f>
        <v>-262.49</v>
      </c>
      <c r="E17" s="3"/>
      <c r="F17" s="20"/>
      <c r="G17" s="3"/>
      <c r="H17" s="3"/>
      <c r="I17" s="3"/>
      <c r="J17" s="20"/>
      <c r="K17" s="3"/>
      <c r="L17" s="3">
        <f t="shared" si="0"/>
        <v>-262.49</v>
      </c>
      <c r="M17" s="3"/>
      <c r="N17" s="20">
        <f t="shared" si="1"/>
        <v>0</v>
      </c>
      <c r="O17" s="12"/>
      <c r="P17" s="3">
        <f>-7759.05</f>
        <v>-7759.05</v>
      </c>
      <c r="Q17" s="3"/>
      <c r="R17" s="20"/>
      <c r="S17" s="3"/>
      <c r="T17" s="3"/>
      <c r="U17" s="3"/>
      <c r="V17" s="20"/>
      <c r="W17" s="3"/>
      <c r="X17" s="3">
        <f t="shared" si="2"/>
        <v>-7759.05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21914.660000000011</v>
      </c>
      <c r="E19" s="5"/>
      <c r="F19" s="13">
        <f t="shared" ref="F19:F29" si="4">IF(D$12=0,0,D19/D$12)</f>
        <v>0.94110801244695375</v>
      </c>
      <c r="G19" s="5"/>
      <c r="H19" s="5">
        <f>SUM(OSRRefH16x_0)</f>
        <v>35523</v>
      </c>
      <c r="I19" s="5"/>
      <c r="J19" s="13">
        <f t="shared" ref="J19:J29" si="5">IF(H$12=0,0,H19/H$12)</f>
        <v>0.72249679663188726</v>
      </c>
      <c r="K19" s="5"/>
      <c r="L19" s="5">
        <f t="shared" ref="L19:L29" si="6">+D19-H19</f>
        <v>-13608.339999999989</v>
      </c>
      <c r="M19" s="5"/>
      <c r="N19" s="13">
        <f t="shared" ref="N19:N29" si="7">IF(H19=0,0,L19/H19)</f>
        <v>-0.38308532500070347</v>
      </c>
      <c r="O19" s="11"/>
      <c r="P19" s="5">
        <f>SUM(OSRRefP16x_0)</f>
        <v>1400295.11</v>
      </c>
      <c r="Q19" s="5"/>
      <c r="R19" s="13">
        <f t="shared" ref="R19:R29" si="8">IF(P$12=0,0,P19/P$12)</f>
        <v>0.78207184921347417</v>
      </c>
      <c r="S19" s="5"/>
      <c r="T19" s="5">
        <f>SUM(OSRRefT16x_0)</f>
        <v>2318613</v>
      </c>
      <c r="U19" s="5"/>
      <c r="V19" s="13">
        <f t="shared" ref="V19:V29" si="9">IF(T$12=0,0,T19/T$12)</f>
        <v>0.722499536482345</v>
      </c>
      <c r="W19" s="5"/>
      <c r="X19" s="5">
        <f t="shared" ref="X19:X29" si="10">+P19-T19</f>
        <v>-918317.8899999999</v>
      </c>
      <c r="Y19" s="5"/>
      <c r="Z19" s="13">
        <f t="shared" ref="Z19:Z29" si="11">IF(T19=0,0,X19/T19)</f>
        <v>-0.39606346121582164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86055.74</v>
      </c>
      <c r="E20" s="3"/>
      <c r="F20" s="20">
        <f t="shared" si="4"/>
        <v>3.6955967571959492</v>
      </c>
      <c r="G20" s="3"/>
      <c r="H20" s="3">
        <v>35523</v>
      </c>
      <c r="I20" s="3"/>
      <c r="J20" s="20">
        <f t="shared" si="5"/>
        <v>0.72249679663188726</v>
      </c>
      <c r="K20" s="3"/>
      <c r="L20" s="3">
        <f t="shared" si="6"/>
        <v>50532.740000000005</v>
      </c>
      <c r="M20" s="3"/>
      <c r="N20" s="20">
        <f t="shared" si="7"/>
        <v>1.4225358218618924</v>
      </c>
      <c r="O20" s="12"/>
      <c r="P20" s="3">
        <v>1207966.54</v>
      </c>
      <c r="Q20" s="3"/>
      <c r="R20" s="20">
        <f t="shared" si="8"/>
        <v>0.67465537726958291</v>
      </c>
      <c r="S20" s="3"/>
      <c r="T20" s="3">
        <v>2318613</v>
      </c>
      <c r="U20" s="3"/>
      <c r="V20" s="20">
        <f t="shared" si="9"/>
        <v>0.722499536482345</v>
      </c>
      <c r="W20" s="3"/>
      <c r="X20" s="3">
        <f t="shared" si="10"/>
        <v>-1110646.46</v>
      </c>
      <c r="Y20" s="3"/>
      <c r="Z20" s="20">
        <f t="shared" si="11"/>
        <v>-0.47901329803636916</v>
      </c>
    </row>
    <row r="21" spans="1:26" s="70" customFormat="1" ht="15" hidden="1" customHeight="1" outlineLevel="1" x14ac:dyDescent="0.25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","5200"," - ","PURCHASES OFFSET")</f>
        <v xml:space="preserve">          5200 - PURCHASES OFFSET</v>
      </c>
      <c r="C24" s="12"/>
      <c r="D24" s="3">
        <v>-87704.65</v>
      </c>
      <c r="E24" s="3"/>
      <c r="F24" s="20">
        <f t="shared" si="4"/>
        <v>-3.7664079134175785</v>
      </c>
      <c r="G24" s="3"/>
      <c r="H24" s="3"/>
      <c r="I24" s="3"/>
      <c r="J24" s="20">
        <f t="shared" si="5"/>
        <v>0</v>
      </c>
      <c r="K24" s="3"/>
      <c r="L24" s="3">
        <f t="shared" si="6"/>
        <v>-87704.65</v>
      </c>
      <c r="M24" s="3"/>
      <c r="N24" s="20">
        <f t="shared" si="7"/>
        <v>0</v>
      </c>
      <c r="O24" s="12"/>
      <c r="P24" s="3">
        <v>-1288787.26</v>
      </c>
      <c r="Q24" s="3"/>
      <c r="R24" s="20">
        <f t="shared" si="8"/>
        <v>-0.71979415515559897</v>
      </c>
      <c r="S24" s="3"/>
      <c r="T24" s="3"/>
      <c r="U24" s="3"/>
      <c r="V24" s="20">
        <f t="shared" si="9"/>
        <v>0</v>
      </c>
      <c r="W24" s="3"/>
      <c r="X24" s="3">
        <f t="shared" si="10"/>
        <v>-1288787.26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","5300"," - ","COG$ OFFSET")</f>
        <v xml:space="preserve">          5300 - COG$ OFFSET</v>
      </c>
      <c r="C25" s="12"/>
      <c r="D25" s="3">
        <v>21914.66</v>
      </c>
      <c r="E25" s="3"/>
      <c r="F25" s="20">
        <f t="shared" si="4"/>
        <v>0.9411080124469533</v>
      </c>
      <c r="G25" s="3"/>
      <c r="H25" s="3"/>
      <c r="I25" s="3"/>
      <c r="J25" s="20">
        <f t="shared" si="5"/>
        <v>0</v>
      </c>
      <c r="K25" s="3"/>
      <c r="L25" s="3">
        <f t="shared" si="6"/>
        <v>21914.66</v>
      </c>
      <c r="M25" s="3"/>
      <c r="N25" s="20">
        <f t="shared" si="7"/>
        <v>0</v>
      </c>
      <c r="O25" s="12"/>
      <c r="P25" s="3">
        <v>1400408.3</v>
      </c>
      <c r="Q25" s="3"/>
      <c r="R25" s="20">
        <f t="shared" si="8"/>
        <v>0.78213506639675245</v>
      </c>
      <c r="S25" s="3"/>
      <c r="T25" s="3"/>
      <c r="U25" s="3"/>
      <c r="V25" s="20">
        <f t="shared" si="9"/>
        <v>0</v>
      </c>
      <c r="W25" s="3"/>
      <c r="X25" s="3">
        <f t="shared" si="10"/>
        <v>1400408.3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","5500"," - ","FREIGHT-IN")</f>
        <v xml:space="preserve">          5500 - FREIGHT-IN</v>
      </c>
      <c r="C26" s="12"/>
      <c r="D26" s="3">
        <v>1648.91</v>
      </c>
      <c r="E26" s="3"/>
      <c r="F26" s="20">
        <f t="shared" si="4"/>
        <v>7.0811156221629992E-2</v>
      </c>
      <c r="G26" s="3"/>
      <c r="H26" s="3"/>
      <c r="I26" s="3"/>
      <c r="J26" s="20">
        <f t="shared" si="5"/>
        <v>0</v>
      </c>
      <c r="K26" s="3"/>
      <c r="L26" s="3">
        <f t="shared" si="6"/>
        <v>1648.91</v>
      </c>
      <c r="M26" s="3"/>
      <c r="N26" s="20">
        <f t="shared" si="7"/>
        <v>0</v>
      </c>
      <c r="O26" s="12"/>
      <c r="P26" s="3">
        <v>80707.53</v>
      </c>
      <c r="Q26" s="3"/>
      <c r="R26" s="20">
        <f t="shared" si="8"/>
        <v>4.5075560702737827E-2</v>
      </c>
      <c r="S26" s="3"/>
      <c r="T26" s="3"/>
      <c r="U26" s="3"/>
      <c r="V26" s="20">
        <f t="shared" si="9"/>
        <v>0</v>
      </c>
      <c r="W26" s="3"/>
      <c r="X26" s="3">
        <f t="shared" si="10"/>
        <v>80707.53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289</v>
      </c>
      <c r="C31" s="28"/>
      <c r="D31" s="22">
        <f>D12-D19</f>
        <v>1371.359999999986</v>
      </c>
      <c r="E31" s="15"/>
      <c r="F31" s="21">
        <f>IF(D$12=0,0,D31/D$12)</f>
        <v>5.8891987553046254E-2</v>
      </c>
      <c r="G31" s="15"/>
      <c r="H31" s="22">
        <f>H12-H19</f>
        <v>13644</v>
      </c>
      <c r="I31" s="15"/>
      <c r="J31" s="21">
        <f>IF(H$12=0,0,H31/H$12)</f>
        <v>0.27750320336811274</v>
      </c>
      <c r="K31" s="16"/>
      <c r="L31" s="22">
        <f>+D31-H31</f>
        <v>-12272.640000000014</v>
      </c>
      <c r="M31" s="16"/>
      <c r="N31" s="21">
        <f>IF(H31=0,0,L31/H31)</f>
        <v>-0.89948988566402921</v>
      </c>
      <c r="O31" s="27"/>
      <c r="P31" s="22">
        <f>P12-P19</f>
        <v>390199.08999999985</v>
      </c>
      <c r="Q31" s="15"/>
      <c r="R31" s="21">
        <f>IF(P$12=0,0,P31/P$12)</f>
        <v>0.21792815078652578</v>
      </c>
      <c r="S31" s="15"/>
      <c r="T31" s="22">
        <f>T12-T19</f>
        <v>890542</v>
      </c>
      <c r="U31" s="15"/>
      <c r="V31" s="21">
        <f>IF(T$12=0,0,T31/T$12)</f>
        <v>0.27750046351765495</v>
      </c>
      <c r="W31" s="16"/>
      <c r="X31" s="22">
        <f>+P31-T31</f>
        <v>-500342.91000000015</v>
      </c>
      <c r="Y31" s="16"/>
      <c r="Z31" s="21">
        <f>IF(T31=0,0,X31/T31)</f>
        <v>-0.56184089015453531</v>
      </c>
    </row>
    <row r="32" spans="1:26" ht="15" customHeight="1" x14ac:dyDescent="0.25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25">
      <c r="A33" s="11"/>
      <c r="B33" s="27" t="s">
        <v>290</v>
      </c>
      <c r="C33" s="11"/>
      <c r="D33" s="23" cm="1">
        <f t="array" ref="D33">SUM(OSRRefD22x_0)</f>
        <v>34291.019999999997</v>
      </c>
      <c r="E33" s="23"/>
      <c r="F33" s="31">
        <f t="shared" ref="F33:F64" si="12">IF(D$12=0,0,D33/D$12)</f>
        <v>1.4726011572608801</v>
      </c>
      <c r="G33" s="23"/>
      <c r="H33" s="23" cm="1">
        <f t="array" ref="H33">SUM(OSRRefH22x_0)</f>
        <v>45175.145897489718</v>
      </c>
      <c r="I33" s="23"/>
      <c r="J33" s="31">
        <f t="shared" ref="J33:J64" si="13">IF(H$12=0,0,H33/H$12)</f>
        <v>0.91881029750624843</v>
      </c>
      <c r="K33" s="5"/>
      <c r="L33" s="23">
        <f t="shared" ref="L33:L64" si="14">+D33-H33</f>
        <v>-10884.125897489721</v>
      </c>
      <c r="M33" s="5"/>
      <c r="N33" s="31">
        <f t="shared" ref="N33:N64" si="15">IF(H33=0,0,L33/H33)</f>
        <v>-0.24093172653360545</v>
      </c>
      <c r="O33" s="11"/>
      <c r="P33" s="23" cm="1">
        <f t="array" ref="P33">SUM(OSRRefP22x_0)</f>
        <v>482773.09</v>
      </c>
      <c r="Q33" s="23"/>
      <c r="R33" s="31">
        <f t="shared" ref="R33:R64" si="16">IF(P$12=0,0,P33/P$12)</f>
        <v>0.26963119456069728</v>
      </c>
      <c r="S33" s="23"/>
      <c r="T33" s="23" cm="1">
        <f t="array" ref="T33">SUM(OSRRefT22x_0)</f>
        <v>595372.41910187702</v>
      </c>
      <c r="U33" s="23"/>
      <c r="V33" s="31">
        <f t="shared" ref="V33:V64" si="17">IF(T$12=0,0,T33/T$12)</f>
        <v>0.18552311094411988</v>
      </c>
      <c r="W33" s="5"/>
      <c r="X33" s="23">
        <f t="shared" ref="X33:X64" si="18">+P33-T33</f>
        <v>-112599.329101877</v>
      </c>
      <c r="Y33" s="5"/>
      <c r="Z33" s="31">
        <f t="shared" ref="Z33:Z64" si="19">IF(T33=0,0,X33/T33)</f>
        <v>-0.18912419435171984</v>
      </c>
    </row>
    <row r="34" spans="1:26" s="69" customFormat="1" ht="15" customHeight="1" outlineLevel="1" collapsed="1" x14ac:dyDescent="0.25">
      <c r="A34" s="26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10813.289999999999</v>
      </c>
      <c r="E34" s="2"/>
      <c r="F34" s="6">
        <f t="shared" si="12"/>
        <v>0.46436832056315336</v>
      </c>
      <c r="G34" s="2"/>
      <c r="H34" s="2">
        <f>SUM(OSRRefH22_0x_0)</f>
        <v>13510.257352235916</v>
      </c>
      <c r="I34" s="2"/>
      <c r="J34" s="6">
        <f t="shared" si="13"/>
        <v>0.27478303236390089</v>
      </c>
      <c r="K34" s="2"/>
      <c r="L34" s="2">
        <f t="shared" si="14"/>
        <v>-2696.9673522359171</v>
      </c>
      <c r="M34" s="2"/>
      <c r="N34" s="6">
        <f t="shared" si="15"/>
        <v>-0.19962368457693186</v>
      </c>
      <c r="O34" s="14"/>
      <c r="P34" s="2">
        <f>SUM(OSRRefP22_0x_0)</f>
        <v>117745.83</v>
      </c>
      <c r="Q34" s="2"/>
      <c r="R34" s="6">
        <f t="shared" si="16"/>
        <v>6.5761637206085341E-2</v>
      </c>
      <c r="S34" s="2"/>
      <c r="T34" s="2">
        <f>SUM(OSRRefT22_0x_0)</f>
        <v>161324.22155883096</v>
      </c>
      <c r="U34" s="2"/>
      <c r="V34" s="6">
        <f t="shared" si="17"/>
        <v>5.0269999909269253E-2</v>
      </c>
      <c r="W34" s="2"/>
      <c r="X34" s="2">
        <f t="shared" si="18"/>
        <v>-43578.391558830961</v>
      </c>
      <c r="Y34" s="2"/>
      <c r="Z34" s="6">
        <f t="shared" si="19"/>
        <v>-0.27012925360956414</v>
      </c>
    </row>
    <row r="35" spans="1:26" s="70" customFormat="1" ht="15" hidden="1" customHeight="1" outlineLevel="2" x14ac:dyDescent="0.25">
      <c r="A35" s="25"/>
      <c r="B35" s="12" t="str">
        <f>CONCATENATE("          ","6111"," - ","F.I.C.A.")</f>
        <v xml:space="preserve">          6111 - F.I.C.A.</v>
      </c>
      <c r="C35" s="12"/>
      <c r="D35" s="8">
        <v>1542.63</v>
      </c>
      <c r="E35" s="3"/>
      <c r="F35" s="7">
        <f t="shared" si="12"/>
        <v>6.6247044363957439E-2</v>
      </c>
      <c r="G35" s="3"/>
      <c r="H35" s="8">
        <v>1967.82450197977</v>
      </c>
      <c r="I35" s="3"/>
      <c r="J35" s="7">
        <f t="shared" si="13"/>
        <v>4.002327784855228E-2</v>
      </c>
      <c r="K35" s="3"/>
      <c r="L35" s="8">
        <f t="shared" si="14"/>
        <v>-425.19450197976994</v>
      </c>
      <c r="M35" s="3"/>
      <c r="N35" s="7">
        <f t="shared" si="15"/>
        <v>-0.21607338538167115</v>
      </c>
      <c r="O35" s="12"/>
      <c r="P35" s="8">
        <v>23424.71</v>
      </c>
      <c r="Q35" s="3"/>
      <c r="R35" s="7">
        <f t="shared" si="16"/>
        <v>1.3082818140377109E-2</v>
      </c>
      <c r="S35" s="3"/>
      <c r="T35" s="8">
        <v>25622.519536257201</v>
      </c>
      <c r="U35" s="3"/>
      <c r="V35" s="7">
        <f t="shared" si="17"/>
        <v>7.9841950719915997E-3</v>
      </c>
      <c r="W35" s="3"/>
      <c r="X35" s="8">
        <f t="shared" si="18"/>
        <v>-2197.8095362572021</v>
      </c>
      <c r="Y35" s="3"/>
      <c r="Z35" s="7">
        <f t="shared" si="19"/>
        <v>-8.5776480066575303E-2</v>
      </c>
    </row>
    <row r="36" spans="1:26" s="70" customFormat="1" ht="15" hidden="1" customHeight="1" outlineLevel="2" x14ac:dyDescent="0.25">
      <c r="A36" s="25"/>
      <c r="B36" s="12" t="str">
        <f>CONCATENATE("          ","6112"," - ","COMPENSATION INSURANCE")</f>
        <v xml:space="preserve">          6112 - COMPENSATION INSURANCE</v>
      </c>
      <c r="C36" s="12"/>
      <c r="D36" s="8">
        <v>403.79</v>
      </c>
      <c r="E36" s="3"/>
      <c r="F36" s="7">
        <f t="shared" si="12"/>
        <v>1.7340447186767E-2</v>
      </c>
      <c r="G36" s="3"/>
      <c r="H36" s="8">
        <v>462.16119348000001</v>
      </c>
      <c r="I36" s="3"/>
      <c r="J36" s="7">
        <f t="shared" si="13"/>
        <v>9.3998249533223509E-3</v>
      </c>
      <c r="K36" s="3"/>
      <c r="L36" s="8">
        <f t="shared" si="14"/>
        <v>-58.371193479999988</v>
      </c>
      <c r="M36" s="3"/>
      <c r="N36" s="7">
        <f t="shared" si="15"/>
        <v>-0.12630050792554481</v>
      </c>
      <c r="O36" s="12"/>
      <c r="P36" s="8">
        <v>4465.3900000000003</v>
      </c>
      <c r="Q36" s="3"/>
      <c r="R36" s="7">
        <f t="shared" si="16"/>
        <v>2.4939427337994174E-3</v>
      </c>
      <c r="S36" s="3"/>
      <c r="T36" s="8">
        <v>6308.7670677599999</v>
      </c>
      <c r="U36" s="3"/>
      <c r="V36" s="7">
        <f t="shared" si="17"/>
        <v>1.9658654903736343E-3</v>
      </c>
      <c r="W36" s="3"/>
      <c r="X36" s="8">
        <f t="shared" si="18"/>
        <v>-1843.3770677599996</v>
      </c>
      <c r="Y36" s="3"/>
      <c r="Z36" s="7">
        <f t="shared" si="19"/>
        <v>-0.29219291946603948</v>
      </c>
    </row>
    <row r="37" spans="1:26" s="70" customFormat="1" ht="15" hidden="1" customHeight="1" outlineLevel="2" x14ac:dyDescent="0.25">
      <c r="A37" s="25"/>
      <c r="B37" s="12" t="str">
        <f>CONCATENATE("          ","6113"," - ","GROUP INSURANCE")</f>
        <v xml:space="preserve">          6113 - GROUP INSURANCE</v>
      </c>
      <c r="C37" s="12"/>
      <c r="D37" s="8">
        <v>4226.1400000000003</v>
      </c>
      <c r="E37" s="3"/>
      <c r="F37" s="7">
        <f t="shared" si="12"/>
        <v>0.18148829211690107</v>
      </c>
      <c r="G37" s="3"/>
      <c r="H37" s="8">
        <v>5314</v>
      </c>
      <c r="I37" s="3"/>
      <c r="J37" s="7">
        <f t="shared" si="13"/>
        <v>0.10808062318221572</v>
      </c>
      <c r="K37" s="3"/>
      <c r="L37" s="8">
        <f t="shared" si="14"/>
        <v>-1087.8599999999997</v>
      </c>
      <c r="M37" s="3"/>
      <c r="N37" s="7">
        <f t="shared" si="15"/>
        <v>-0.20471584493789982</v>
      </c>
      <c r="O37" s="12"/>
      <c r="P37" s="8">
        <v>47823.83</v>
      </c>
      <c r="Q37" s="3"/>
      <c r="R37" s="7">
        <f t="shared" si="16"/>
        <v>2.6709849157847035E-2</v>
      </c>
      <c r="S37" s="3"/>
      <c r="T37" s="8">
        <v>59678</v>
      </c>
      <c r="U37" s="3"/>
      <c r="V37" s="7">
        <f t="shared" si="17"/>
        <v>1.8596172512701941E-2</v>
      </c>
      <c r="W37" s="3"/>
      <c r="X37" s="8">
        <f t="shared" si="18"/>
        <v>-11854.169999999998</v>
      </c>
      <c r="Y37" s="3"/>
      <c r="Z37" s="7">
        <f t="shared" si="19"/>
        <v>-0.19863551057341061</v>
      </c>
    </row>
    <row r="38" spans="1:26" s="70" customFormat="1" ht="15" hidden="1" customHeight="1" outlineLevel="2" x14ac:dyDescent="0.25">
      <c r="A38" s="25"/>
      <c r="B38" s="12" t="str">
        <f>CONCATENATE("          ","6114"," - ","STATE UNEMPLOYMENT INSURANCE")</f>
        <v xml:space="preserve">          6114 - STATE UNEMPLOYMENT INSURANCE</v>
      </c>
      <c r="C38" s="12"/>
      <c r="D38" s="8">
        <v>79.48</v>
      </c>
      <c r="E38" s="3"/>
      <c r="F38" s="7">
        <f t="shared" si="12"/>
        <v>3.4132067223166525E-3</v>
      </c>
      <c r="G38" s="3"/>
      <c r="H38" s="8">
        <v>62.214006814615402</v>
      </c>
      <c r="I38" s="3"/>
      <c r="J38" s="7">
        <f t="shared" si="13"/>
        <v>1.2653610514087783E-3</v>
      </c>
      <c r="K38" s="3"/>
      <c r="L38" s="8">
        <f t="shared" si="14"/>
        <v>17.265993185384602</v>
      </c>
      <c r="M38" s="3"/>
      <c r="N38" s="7">
        <f t="shared" si="15"/>
        <v>0.27752581885351985</v>
      </c>
      <c r="O38" s="12"/>
      <c r="P38" s="8">
        <v>885.1</v>
      </c>
      <c r="Q38" s="3"/>
      <c r="R38" s="7">
        <f t="shared" si="16"/>
        <v>4.9433279370578252E-4</v>
      </c>
      <c r="S38" s="3"/>
      <c r="T38" s="8">
        <v>849.25710527538399</v>
      </c>
      <c r="U38" s="3"/>
      <c r="V38" s="7">
        <f t="shared" si="17"/>
        <v>2.6463573908875823E-4</v>
      </c>
      <c r="W38" s="3"/>
      <c r="X38" s="8">
        <f t="shared" si="18"/>
        <v>35.842894724616031</v>
      </c>
      <c r="Y38" s="3"/>
      <c r="Z38" s="7">
        <f t="shared" si="19"/>
        <v>4.2204998347341996E-2</v>
      </c>
    </row>
    <row r="39" spans="1:26" s="70" customFormat="1" ht="15" hidden="1" customHeight="1" outlineLevel="2" x14ac:dyDescent="0.25">
      <c r="A39" s="25"/>
      <c r="B39" s="12" t="str">
        <f>CONCATENATE("          ","6115"," - ","P.E.R.S.")</f>
        <v xml:space="preserve">          6115 - P.E.R.S.</v>
      </c>
      <c r="C39" s="12"/>
      <c r="D39" s="8">
        <v>1192.42</v>
      </c>
      <c r="E39" s="3"/>
      <c r="F39" s="7">
        <f t="shared" si="12"/>
        <v>5.1207548563472857E-2</v>
      </c>
      <c r="G39" s="3"/>
      <c r="H39" s="8">
        <v>1664.68278164615</v>
      </c>
      <c r="I39" s="3"/>
      <c r="J39" s="7">
        <f t="shared" si="13"/>
        <v>3.3857725337038055E-2</v>
      </c>
      <c r="K39" s="3"/>
      <c r="L39" s="8">
        <f t="shared" si="14"/>
        <v>-472.26278164614996</v>
      </c>
      <c r="M39" s="3"/>
      <c r="N39" s="7">
        <f t="shared" si="15"/>
        <v>-0.28369536037319065</v>
      </c>
      <c r="O39" s="12"/>
      <c r="P39" s="8">
        <v>20148.009999999998</v>
      </c>
      <c r="Q39" s="3"/>
      <c r="R39" s="7">
        <f t="shared" si="16"/>
        <v>1.1252764739478073E-2</v>
      </c>
      <c r="S39" s="3"/>
      <c r="T39" s="8">
        <v>19976.1933797538</v>
      </c>
      <c r="U39" s="3"/>
      <c r="V39" s="7">
        <f t="shared" si="17"/>
        <v>6.2247518053050723E-3</v>
      </c>
      <c r="W39" s="3"/>
      <c r="X39" s="8">
        <f t="shared" si="18"/>
        <v>171.816620246198</v>
      </c>
      <c r="Y39" s="3"/>
      <c r="Z39" s="7">
        <f t="shared" si="19"/>
        <v>8.6010691316363089E-3</v>
      </c>
    </row>
    <row r="40" spans="1:26" s="70" customFormat="1" ht="15" hidden="1" customHeight="1" outlineLevel="2" x14ac:dyDescent="0.25">
      <c r="A40" s="25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25">
      <c r="A41" s="25"/>
      <c r="B41" s="12" t="str">
        <f>CONCATENATE("          ","6117"," - ","RETIREMENT STAFF HOURLY")</f>
        <v xml:space="preserve">          6117 - RETIREMENT STAFF HOURLY</v>
      </c>
      <c r="C41" s="12"/>
      <c r="D41" s="8">
        <v>161.08000000000001</v>
      </c>
      <c r="E41" s="3"/>
      <c r="F41" s="7">
        <f t="shared" si="12"/>
        <v>6.9174551941465325E-3</v>
      </c>
      <c r="G41" s="3"/>
      <c r="H41" s="8"/>
      <c r="I41" s="3"/>
      <c r="J41" s="7">
        <f t="shared" si="13"/>
        <v>0</v>
      </c>
      <c r="K41" s="3"/>
      <c r="L41" s="8">
        <f t="shared" si="14"/>
        <v>161.08000000000001</v>
      </c>
      <c r="M41" s="3"/>
      <c r="N41" s="7">
        <f t="shared" si="15"/>
        <v>0</v>
      </c>
      <c r="O41" s="12"/>
      <c r="P41" s="8">
        <v>3376.44</v>
      </c>
      <c r="Q41" s="3"/>
      <c r="R41" s="7">
        <f t="shared" si="16"/>
        <v>1.885758691650607E-3</v>
      </c>
      <c r="S41" s="3"/>
      <c r="T41" s="8"/>
      <c r="U41" s="3"/>
      <c r="V41" s="7">
        <f t="shared" si="17"/>
        <v>0</v>
      </c>
      <c r="W41" s="3"/>
      <c r="X41" s="8">
        <f t="shared" si="18"/>
        <v>3376.44</v>
      </c>
      <c r="Y41" s="3"/>
      <c r="Z41" s="7">
        <f t="shared" si="19"/>
        <v>0</v>
      </c>
    </row>
    <row r="42" spans="1:26" s="70" customFormat="1" ht="15" hidden="1" customHeight="1" outlineLevel="2" x14ac:dyDescent="0.25">
      <c r="A42" s="25"/>
      <c r="B42" s="12" t="str">
        <f>CONCATENATE("          ","6118"," - ","VACATION")</f>
        <v xml:space="preserve">          6118 - VACATION</v>
      </c>
      <c r="C42" s="12"/>
      <c r="D42" s="8">
        <v>1330.2</v>
      </c>
      <c r="E42" s="3"/>
      <c r="F42" s="7">
        <f t="shared" si="12"/>
        <v>5.712440339740326E-2</v>
      </c>
      <c r="G42" s="3"/>
      <c r="H42" s="8">
        <v>1689.1935418999999</v>
      </c>
      <c r="I42" s="3"/>
      <c r="J42" s="7">
        <f t="shared" si="13"/>
        <v>3.43562458946041E-2</v>
      </c>
      <c r="K42" s="3"/>
      <c r="L42" s="8">
        <f t="shared" si="14"/>
        <v>-358.99354189999985</v>
      </c>
      <c r="M42" s="3"/>
      <c r="N42" s="7">
        <f t="shared" si="15"/>
        <v>-0.21252362917289216</v>
      </c>
      <c r="O42" s="12"/>
      <c r="P42" s="8">
        <v>20614.18</v>
      </c>
      <c r="Q42" s="3"/>
      <c r="R42" s="7">
        <f t="shared" si="16"/>
        <v>1.1513123024916808E-2</v>
      </c>
      <c r="S42" s="3"/>
      <c r="T42" s="8">
        <v>20270.322502800002</v>
      </c>
      <c r="U42" s="3"/>
      <c r="V42" s="7">
        <f t="shared" si="17"/>
        <v>6.3164049423602171E-3</v>
      </c>
      <c r="W42" s="3"/>
      <c r="X42" s="8">
        <f t="shared" si="18"/>
        <v>343.85749719999876</v>
      </c>
      <c r="Y42" s="3"/>
      <c r="Z42" s="7">
        <f t="shared" si="19"/>
        <v>1.6963592816665877E-2</v>
      </c>
    </row>
    <row r="43" spans="1:26" s="70" customFormat="1" ht="15" hidden="1" customHeight="1" outlineLevel="2" x14ac:dyDescent="0.25">
      <c r="A43" s="25"/>
      <c r="B43" s="12" t="str">
        <f>CONCATENATE("          ","6119"," - ","SICK LEAVE")</f>
        <v xml:space="preserve">          6119 - SICK LEAVE</v>
      </c>
      <c r="C43" s="12"/>
      <c r="D43" s="8">
        <v>892.48</v>
      </c>
      <c r="E43" s="3"/>
      <c r="F43" s="7">
        <f t="shared" si="12"/>
        <v>3.8326858776209935E-2</v>
      </c>
      <c r="G43" s="3"/>
      <c r="H43" s="8">
        <v>1300.18132641538</v>
      </c>
      <c r="I43" s="3"/>
      <c r="J43" s="7">
        <f t="shared" si="13"/>
        <v>2.644418667836923E-2</v>
      </c>
      <c r="K43" s="3"/>
      <c r="L43" s="8">
        <f t="shared" si="14"/>
        <v>-407.70132641537998</v>
      </c>
      <c r="M43" s="3"/>
      <c r="N43" s="7">
        <f t="shared" si="15"/>
        <v>-0.31357266723666832</v>
      </c>
      <c r="O43" s="12"/>
      <c r="P43" s="8">
        <v>-13010.34</v>
      </c>
      <c r="Q43" s="3"/>
      <c r="R43" s="7">
        <f t="shared" si="16"/>
        <v>-7.2663402093120439E-3</v>
      </c>
      <c r="S43" s="3"/>
      <c r="T43" s="8">
        <v>17069.1619669846</v>
      </c>
      <c r="U43" s="3"/>
      <c r="V43" s="7">
        <f t="shared" si="17"/>
        <v>5.3188960854133258E-3</v>
      </c>
      <c r="W43" s="3"/>
      <c r="X43" s="8">
        <f t="shared" si="18"/>
        <v>-30079.501966984601</v>
      </c>
      <c r="Y43" s="3"/>
      <c r="Z43" s="7">
        <f t="shared" si="19"/>
        <v>-1.7622131669477841</v>
      </c>
    </row>
    <row r="44" spans="1:26" s="70" customFormat="1" ht="15" hidden="1" customHeight="1" outlineLevel="2" x14ac:dyDescent="0.25">
      <c r="A44" s="25"/>
      <c r="B44" s="12" t="str">
        <f>CONCATENATE("          ","6156"," - ","EMPLOYEE MEALS")</f>
        <v xml:space="preserve">          6156 - EMPLOYEE MEALS</v>
      </c>
      <c r="C44" s="12"/>
      <c r="D44" s="8">
        <v>985.07</v>
      </c>
      <c r="E44" s="3"/>
      <c r="F44" s="7">
        <f t="shared" si="12"/>
        <v>4.2303064241978675E-2</v>
      </c>
      <c r="G44" s="3"/>
      <c r="H44" s="8">
        <v>1050</v>
      </c>
      <c r="I44" s="3"/>
      <c r="J44" s="7">
        <f t="shared" si="13"/>
        <v>2.1355787418390382E-2</v>
      </c>
      <c r="K44" s="3"/>
      <c r="L44" s="8">
        <f t="shared" si="14"/>
        <v>-64.92999999999995</v>
      </c>
      <c r="M44" s="3"/>
      <c r="N44" s="7">
        <f t="shared" si="15"/>
        <v>-6.1838095238095192E-2</v>
      </c>
      <c r="O44" s="12"/>
      <c r="P44" s="8">
        <v>10018.51</v>
      </c>
      <c r="Q44" s="3"/>
      <c r="R44" s="7">
        <f t="shared" si="16"/>
        <v>5.5953881336225494E-3</v>
      </c>
      <c r="S44" s="3"/>
      <c r="T44" s="8">
        <v>11550</v>
      </c>
      <c r="U44" s="3"/>
      <c r="V44" s="7">
        <f t="shared" si="17"/>
        <v>3.5990782620347102E-3</v>
      </c>
      <c r="W44" s="3"/>
      <c r="X44" s="8">
        <f t="shared" si="18"/>
        <v>-1531.4899999999998</v>
      </c>
      <c r="Y44" s="3"/>
      <c r="Z44" s="7">
        <f t="shared" si="19"/>
        <v>-0.13259653679653677</v>
      </c>
    </row>
    <row r="45" spans="1:26" s="69" customFormat="1" ht="15" customHeight="1" outlineLevel="1" collapsed="1" x14ac:dyDescent="0.25">
      <c r="A45" s="26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18500.109999999997</v>
      </c>
      <c r="E45" s="2"/>
      <c r="F45" s="6">
        <f t="shared" si="12"/>
        <v>0.79447282103167483</v>
      </c>
      <c r="G45" s="2"/>
      <c r="H45" s="2">
        <f>SUM(OSRRefH22_1x_0)</f>
        <v>27134.888545253802</v>
      </c>
      <c r="I45" s="2"/>
      <c r="J45" s="6">
        <f t="shared" si="13"/>
        <v>0.55189229656586336</v>
      </c>
      <c r="K45" s="2"/>
      <c r="L45" s="2">
        <f t="shared" si="14"/>
        <v>-8634.7785452538046</v>
      </c>
      <c r="M45" s="2"/>
      <c r="N45" s="6">
        <f t="shared" si="15"/>
        <v>-0.31821684216072171</v>
      </c>
      <c r="O45" s="14"/>
      <c r="P45" s="2">
        <f>SUM(OSRRefP22_1x_0)</f>
        <v>313770.34999999998</v>
      </c>
      <c r="Q45" s="2"/>
      <c r="R45" s="6">
        <f t="shared" si="16"/>
        <v>0.17524231578074925</v>
      </c>
      <c r="S45" s="2"/>
      <c r="T45" s="2">
        <f>SUM(OSRRefT22_1x_0)</f>
        <v>374518.19754304603</v>
      </c>
      <c r="U45" s="2"/>
      <c r="V45" s="6">
        <f t="shared" si="17"/>
        <v>0.11670305658126393</v>
      </c>
      <c r="W45" s="2"/>
      <c r="X45" s="2">
        <f t="shared" si="18"/>
        <v>-60747.847543046053</v>
      </c>
      <c r="Y45" s="2"/>
      <c r="Z45" s="6">
        <f t="shared" si="19"/>
        <v>-0.16220265915400245</v>
      </c>
    </row>
    <row r="46" spans="1:26" s="70" customFormat="1" ht="15" hidden="1" customHeight="1" outlineLevel="2" x14ac:dyDescent="0.25">
      <c r="A46" s="25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25">
      <c r="A47" s="25"/>
      <c r="B47" s="12" t="str">
        <f>CONCATENATE("          ","6002"," - ","STAFF SALARIES")</f>
        <v xml:space="preserve">          6002 - STAFF SALARIES</v>
      </c>
      <c r="C47" s="12"/>
      <c r="D47" s="8">
        <v>13986.97</v>
      </c>
      <c r="E47" s="3"/>
      <c r="F47" s="7">
        <f t="shared" si="12"/>
        <v>0.60065953735331334</v>
      </c>
      <c r="G47" s="3"/>
      <c r="H47" s="8">
        <v>17293.700777253802</v>
      </c>
      <c r="I47" s="3"/>
      <c r="J47" s="7">
        <f t="shared" si="13"/>
        <v>0.35173390235836643</v>
      </c>
      <c r="K47" s="3"/>
      <c r="L47" s="8">
        <f t="shared" si="14"/>
        <v>-3306.7307772538024</v>
      </c>
      <c r="M47" s="3"/>
      <c r="N47" s="7">
        <f t="shared" si="15"/>
        <v>-0.19121013019972602</v>
      </c>
      <c r="O47" s="12"/>
      <c r="P47" s="8">
        <v>203046.17</v>
      </c>
      <c r="Q47" s="3"/>
      <c r="R47" s="7">
        <f t="shared" si="16"/>
        <v>0.11340230535234351</v>
      </c>
      <c r="S47" s="3"/>
      <c r="T47" s="8">
        <v>207524.40932704601</v>
      </c>
      <c r="U47" s="3"/>
      <c r="V47" s="7">
        <f t="shared" si="17"/>
        <v>6.4666371467581349E-2</v>
      </c>
      <c r="W47" s="3"/>
      <c r="X47" s="8">
        <f t="shared" si="18"/>
        <v>-4478.2393270460016</v>
      </c>
      <c r="Y47" s="3"/>
      <c r="Z47" s="7">
        <f t="shared" si="19"/>
        <v>-2.1579337782807829E-2</v>
      </c>
    </row>
    <row r="48" spans="1:26" s="70" customFormat="1" ht="15" hidden="1" customHeight="1" outlineLevel="2" x14ac:dyDescent="0.25">
      <c r="A48" s="25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25">
      <c r="A49" s="25"/>
      <c r="B49" s="12" t="str">
        <f>CONCATENATE("          ","6004"," - ","STAFF HOURLY")</f>
        <v xml:space="preserve">          6004 - STAFF HOURLY</v>
      </c>
      <c r="C49" s="12"/>
      <c r="D49" s="8">
        <v>3355.54</v>
      </c>
      <c r="E49" s="3"/>
      <c r="F49" s="7">
        <f t="shared" si="12"/>
        <v>0.14410105290642197</v>
      </c>
      <c r="G49" s="3"/>
      <c r="H49" s="8">
        <v>5928.5827680000002</v>
      </c>
      <c r="I49" s="3"/>
      <c r="J49" s="7">
        <f t="shared" si="13"/>
        <v>0.12058052693880042</v>
      </c>
      <c r="K49" s="3"/>
      <c r="L49" s="8">
        <f t="shared" si="14"/>
        <v>-2573.0427680000003</v>
      </c>
      <c r="M49" s="3"/>
      <c r="N49" s="7">
        <f t="shared" si="15"/>
        <v>-0.43400638376648876</v>
      </c>
      <c r="O49" s="12"/>
      <c r="P49" s="8">
        <v>65191.06</v>
      </c>
      <c r="Q49" s="3"/>
      <c r="R49" s="7">
        <f t="shared" si="16"/>
        <v>3.6409534306226739E-2</v>
      </c>
      <c r="S49" s="3"/>
      <c r="T49" s="8">
        <v>71142.993216000003</v>
      </c>
      <c r="U49" s="3"/>
      <c r="V49" s="7">
        <f t="shared" si="17"/>
        <v>2.2168761937644024E-2</v>
      </c>
      <c r="W49" s="3"/>
      <c r="X49" s="8">
        <f t="shared" si="18"/>
        <v>-5951.9332160000049</v>
      </c>
      <c r="Y49" s="3"/>
      <c r="Z49" s="7">
        <f t="shared" si="19"/>
        <v>-8.3661551854152513E-2</v>
      </c>
    </row>
    <row r="50" spans="1:26" s="70" customFormat="1" ht="15" hidden="1" customHeight="1" outlineLevel="2" x14ac:dyDescent="0.25">
      <c r="A50" s="25"/>
      <c r="B50" s="12" t="str">
        <f>CONCATENATE("          ","6005"," - ","TEMPORARY WAGES-HOURLY")</f>
        <v xml:space="preserve">          6005 - TEMPORARY WAGES-HOURLY</v>
      </c>
      <c r="C50" s="12"/>
      <c r="D50" s="8"/>
      <c r="E50" s="3"/>
      <c r="F50" s="7">
        <f t="shared" si="12"/>
        <v>0</v>
      </c>
      <c r="G50" s="3"/>
      <c r="H50" s="8">
        <v>2252.5</v>
      </c>
      <c r="I50" s="3"/>
      <c r="J50" s="7">
        <f t="shared" si="13"/>
        <v>4.5813248723737467E-2</v>
      </c>
      <c r="K50" s="3"/>
      <c r="L50" s="8">
        <f t="shared" si="14"/>
        <v>-2252.5</v>
      </c>
      <c r="M50" s="3"/>
      <c r="N50" s="7">
        <f t="shared" si="15"/>
        <v>-1</v>
      </c>
      <c r="O50" s="12"/>
      <c r="P50" s="8">
        <v>14698.31</v>
      </c>
      <c r="Q50" s="3"/>
      <c r="R50" s="7">
        <f t="shared" si="16"/>
        <v>8.2090799288822049E-3</v>
      </c>
      <c r="S50" s="3"/>
      <c r="T50" s="8">
        <v>33631.5</v>
      </c>
      <c r="U50" s="3"/>
      <c r="V50" s="7">
        <f t="shared" si="17"/>
        <v>1.0479861521179251E-2</v>
      </c>
      <c r="W50" s="3"/>
      <c r="X50" s="8">
        <f t="shared" si="18"/>
        <v>-18933.190000000002</v>
      </c>
      <c r="Y50" s="3"/>
      <c r="Z50" s="7">
        <f t="shared" si="19"/>
        <v>-0.56296002259786215</v>
      </c>
    </row>
    <row r="51" spans="1:26" s="70" customFormat="1" ht="15" hidden="1" customHeight="1" outlineLevel="2" x14ac:dyDescent="0.25">
      <c r="A51" s="25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25">
      <c r="A52" s="25"/>
      <c r="B52" s="12" t="str">
        <f>CONCATENATE("          ","6007"," - ","STUDENT HOURLY")</f>
        <v xml:space="preserve">          6007 - STUDENT HOURLY</v>
      </c>
      <c r="C52" s="12"/>
      <c r="D52" s="8">
        <v>1157.5999999999999</v>
      </c>
      <c r="E52" s="3"/>
      <c r="F52" s="7">
        <f t="shared" si="12"/>
        <v>4.9712230771939564E-2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1157.5999999999999</v>
      </c>
      <c r="M52" s="3"/>
      <c r="N52" s="7">
        <f t="shared" si="15"/>
        <v>0</v>
      </c>
      <c r="O52" s="12"/>
      <c r="P52" s="8">
        <v>26868.33</v>
      </c>
      <c r="Q52" s="3"/>
      <c r="R52" s="7">
        <f t="shared" si="16"/>
        <v>1.5006097199309554E-2</v>
      </c>
      <c r="S52" s="3"/>
      <c r="T52" s="8">
        <v>26246.25</v>
      </c>
      <c r="U52" s="3"/>
      <c r="V52" s="7">
        <f t="shared" si="17"/>
        <v>8.1785547909029015E-3</v>
      </c>
      <c r="W52" s="3"/>
      <c r="X52" s="8">
        <f t="shared" si="18"/>
        <v>622.08000000000175</v>
      </c>
      <c r="Y52" s="3"/>
      <c r="Z52" s="7">
        <f t="shared" si="19"/>
        <v>2.370167166738112E-2</v>
      </c>
    </row>
    <row r="53" spans="1:26" s="70" customFormat="1" ht="15" hidden="1" customHeight="1" outlineLevel="2" x14ac:dyDescent="0.25">
      <c r="A53" s="25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1660.105</v>
      </c>
      <c r="I53" s="3"/>
      <c r="J53" s="7">
        <f t="shared" si="13"/>
        <v>3.3764618544959019E-2</v>
      </c>
      <c r="K53" s="3"/>
      <c r="L53" s="8">
        <f t="shared" si="14"/>
        <v>-1660.105</v>
      </c>
      <c r="M53" s="3"/>
      <c r="N53" s="7">
        <f t="shared" si="15"/>
        <v>-1</v>
      </c>
      <c r="O53" s="12"/>
      <c r="P53" s="8">
        <v>3966.48</v>
      </c>
      <c r="Q53" s="3"/>
      <c r="R53" s="7">
        <f t="shared" si="16"/>
        <v>2.2152989939872468E-3</v>
      </c>
      <c r="S53" s="3"/>
      <c r="T53" s="8">
        <v>35973.044999999998</v>
      </c>
      <c r="U53" s="3"/>
      <c r="V53" s="7">
        <f t="shared" si="17"/>
        <v>1.1209506863956399E-2</v>
      </c>
      <c r="W53" s="3"/>
      <c r="X53" s="8">
        <f t="shared" si="18"/>
        <v>-32006.564999999999</v>
      </c>
      <c r="Y53" s="3"/>
      <c r="Z53" s="7">
        <f t="shared" si="19"/>
        <v>-0.88973744090888052</v>
      </c>
    </row>
    <row r="54" spans="1:26" s="70" customFormat="1" ht="15" hidden="1" customHeight="1" outlineLevel="2" x14ac:dyDescent="0.25">
      <c r="A54" s="25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25">
      <c r="A55" s="25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25">
      <c r="A56" s="26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29.4</v>
      </c>
      <c r="E56" s="2"/>
      <c r="F56" s="6">
        <f t="shared" si="12"/>
        <v>1.2625601111740006E-3</v>
      </c>
      <c r="G56" s="2"/>
      <c r="H56" s="2">
        <f>SUM(OSRRefH22_2x_0)</f>
        <v>200</v>
      </c>
      <c r="I56" s="2"/>
      <c r="J56" s="6">
        <f t="shared" si="13"/>
        <v>4.0677690320743585E-3</v>
      </c>
      <c r="K56" s="2"/>
      <c r="L56" s="2">
        <f t="shared" si="14"/>
        <v>-170.6</v>
      </c>
      <c r="M56" s="2"/>
      <c r="N56" s="6">
        <f t="shared" si="15"/>
        <v>-0.85299999999999998</v>
      </c>
      <c r="O56" s="14"/>
      <c r="P56" s="2">
        <f>SUM(OSRRefP22_2x_0)</f>
        <v>965</v>
      </c>
      <c r="Q56" s="2"/>
      <c r="R56" s="6">
        <f t="shared" si="16"/>
        <v>5.3895734484926011E-4</v>
      </c>
      <c r="S56" s="2"/>
      <c r="T56" s="2">
        <f>SUM(OSRRefT22_2x_0)</f>
        <v>3200</v>
      </c>
      <c r="U56" s="2"/>
      <c r="V56" s="6">
        <f t="shared" si="17"/>
        <v>9.9714722411351278E-4</v>
      </c>
      <c r="W56" s="2"/>
      <c r="X56" s="2">
        <f t="shared" si="18"/>
        <v>-2235</v>
      </c>
      <c r="Y56" s="2"/>
      <c r="Z56" s="6">
        <f t="shared" si="19"/>
        <v>-0.69843750000000004</v>
      </c>
    </row>
    <row r="57" spans="1:26" s="70" customFormat="1" ht="15" hidden="1" customHeight="1" outlineLevel="2" x14ac:dyDescent="0.25">
      <c r="A57" s="25"/>
      <c r="B57" s="12" t="str">
        <f>CONCATENATE("          ","6362"," - ","ADVERTISING EXPENSE")</f>
        <v xml:space="preserve">          6362 - ADVERTISING EXPENSE</v>
      </c>
      <c r="C57" s="12"/>
      <c r="D57" s="8">
        <v>29.4</v>
      </c>
      <c r="E57" s="3"/>
      <c r="F57" s="7">
        <f t="shared" si="12"/>
        <v>1.2625601111740006E-3</v>
      </c>
      <c r="G57" s="3"/>
      <c r="H57" s="8">
        <v>200</v>
      </c>
      <c r="I57" s="3"/>
      <c r="J57" s="7">
        <f t="shared" si="13"/>
        <v>4.0677690320743585E-3</v>
      </c>
      <c r="K57" s="3"/>
      <c r="L57" s="8">
        <f t="shared" si="14"/>
        <v>-170.6</v>
      </c>
      <c r="M57" s="3"/>
      <c r="N57" s="7">
        <f t="shared" si="15"/>
        <v>-0.85299999999999998</v>
      </c>
      <c r="O57" s="12"/>
      <c r="P57" s="8">
        <v>965</v>
      </c>
      <c r="Q57" s="3"/>
      <c r="R57" s="7">
        <f t="shared" si="16"/>
        <v>5.3895734484926011E-4</v>
      </c>
      <c r="S57" s="3"/>
      <c r="T57" s="8">
        <v>3200</v>
      </c>
      <c r="U57" s="3"/>
      <c r="V57" s="7">
        <f t="shared" si="17"/>
        <v>9.9714722411351278E-4</v>
      </c>
      <c r="W57" s="3"/>
      <c r="X57" s="8">
        <f t="shared" si="18"/>
        <v>-2235</v>
      </c>
      <c r="Y57" s="3"/>
      <c r="Z57" s="7">
        <f t="shared" si="19"/>
        <v>-0.69843750000000004</v>
      </c>
    </row>
    <row r="58" spans="1:26" s="69" customFormat="1" ht="15" customHeight="1" outlineLevel="1" collapsed="1" x14ac:dyDescent="0.25">
      <c r="A58" s="26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7.5398177776839501E-7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","6382"," - ","DISCOUNTS/MARK DOWNS")</f>
        <v xml:space="preserve">          6382 - DISCOUNTS/MARK DOWNS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>
        <v>1.35</v>
      </c>
      <c r="Q59" s="3"/>
      <c r="R59" s="7">
        <f t="shared" si="16"/>
        <v>7.5398177776839501E-7</v>
      </c>
      <c r="S59" s="3"/>
      <c r="T59" s="8"/>
      <c r="U59" s="3"/>
      <c r="V59" s="7">
        <f t="shared" si="17"/>
        <v>0</v>
      </c>
      <c r="W59" s="3"/>
      <c r="X59" s="8">
        <f t="shared" si="18"/>
        <v>1.35</v>
      </c>
      <c r="Y59" s="3"/>
      <c r="Z59" s="7">
        <f t="shared" si="19"/>
        <v>0</v>
      </c>
    </row>
    <row r="60" spans="1:26" s="69" customFormat="1" ht="15" customHeight="1" outlineLevel="1" collapsed="1" x14ac:dyDescent="0.25">
      <c r="A60" s="26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1.0169422580185896E-3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550</v>
      </c>
      <c r="U60" s="2"/>
      <c r="V60" s="6">
        <f t="shared" si="17"/>
        <v>1.7138467914451001E-4</v>
      </c>
      <c r="W60" s="2"/>
      <c r="X60" s="2">
        <f t="shared" si="18"/>
        <v>-550</v>
      </c>
      <c r="Y60" s="2"/>
      <c r="Z60" s="6">
        <f t="shared" si="19"/>
        <v>-1</v>
      </c>
    </row>
    <row r="61" spans="1:26" s="70" customFormat="1" ht="15" hidden="1" customHeight="1" outlineLevel="2" x14ac:dyDescent="0.25">
      <c r="A61" s="25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50</v>
      </c>
      <c r="I61" s="3"/>
      <c r="J61" s="7">
        <f t="shared" si="13"/>
        <v>1.0169422580185896E-3</v>
      </c>
      <c r="K61" s="3"/>
      <c r="L61" s="8">
        <f t="shared" si="14"/>
        <v>-50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550</v>
      </c>
      <c r="U61" s="3"/>
      <c r="V61" s="7">
        <f t="shared" si="17"/>
        <v>1.7138467914451001E-4</v>
      </c>
      <c r="W61" s="3"/>
      <c r="X61" s="8">
        <f t="shared" si="18"/>
        <v>-550</v>
      </c>
      <c r="Y61" s="3"/>
      <c r="Z61" s="7">
        <f t="shared" si="19"/>
        <v>-1</v>
      </c>
    </row>
    <row r="62" spans="1:26" s="69" customFormat="1" ht="15" customHeight="1" outlineLevel="1" collapsed="1" x14ac:dyDescent="0.25">
      <c r="A62" s="26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3.9190896512156228E-3</v>
      </c>
      <c r="G62" s="2"/>
      <c r="H62" s="2">
        <f>SUM(OSRRefH22_5x_0)</f>
        <v>100</v>
      </c>
      <c r="I62" s="2"/>
      <c r="J62" s="6">
        <f t="shared" si="13"/>
        <v>2.0338845160371793E-3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1003.86</v>
      </c>
      <c r="Q62" s="2"/>
      <c r="R62" s="6">
        <f t="shared" si="16"/>
        <v>5.6066084994857847E-4</v>
      </c>
      <c r="S62" s="2"/>
      <c r="T62" s="2">
        <f>SUM(OSRRefT22_5x_0)</f>
        <v>1100</v>
      </c>
      <c r="U62" s="2"/>
      <c r="V62" s="6">
        <f t="shared" si="17"/>
        <v>3.4276935828902002E-4</v>
      </c>
      <c r="W62" s="2"/>
      <c r="X62" s="2">
        <f t="shared" si="18"/>
        <v>-96.139999999999986</v>
      </c>
      <c r="Y62" s="2"/>
      <c r="Z62" s="6">
        <f t="shared" si="19"/>
        <v>-8.7399999999999992E-2</v>
      </c>
    </row>
    <row r="63" spans="1:26" s="70" customFormat="1" ht="15" hidden="1" customHeight="1" outlineLevel="2" x14ac:dyDescent="0.25">
      <c r="A63" s="25"/>
      <c r="B63" s="12" t="str">
        <f>CONCATENATE("          ","6351"," - ","EQUIPMENT RENTAL")</f>
        <v xml:space="preserve">          6351 - EQUIPMENT RENTAL</v>
      </c>
      <c r="C63" s="12"/>
      <c r="D63" s="8">
        <v>91.26</v>
      </c>
      <c r="E63" s="3"/>
      <c r="F63" s="7">
        <f t="shared" si="12"/>
        <v>3.9190896512156228E-3</v>
      </c>
      <c r="G63" s="3"/>
      <c r="H63" s="8">
        <v>100</v>
      </c>
      <c r="I63" s="3"/>
      <c r="J63" s="7">
        <f t="shared" si="13"/>
        <v>2.0338845160371793E-3</v>
      </c>
      <c r="K63" s="3"/>
      <c r="L63" s="8">
        <f t="shared" si="14"/>
        <v>-8.7399999999999949</v>
      </c>
      <c r="M63" s="3"/>
      <c r="N63" s="7">
        <f t="shared" si="15"/>
        <v>-8.739999999999995E-2</v>
      </c>
      <c r="O63" s="12"/>
      <c r="P63" s="8">
        <v>1003.86</v>
      </c>
      <c r="Q63" s="3"/>
      <c r="R63" s="7">
        <f t="shared" si="16"/>
        <v>5.6066084994857847E-4</v>
      </c>
      <c r="S63" s="3"/>
      <c r="T63" s="8">
        <v>1100</v>
      </c>
      <c r="U63" s="3"/>
      <c r="V63" s="7">
        <f t="shared" si="17"/>
        <v>3.4276935828902002E-4</v>
      </c>
      <c r="W63" s="3"/>
      <c r="X63" s="8">
        <f t="shared" si="18"/>
        <v>-96.139999999999986</v>
      </c>
      <c r="Y63" s="3"/>
      <c r="Z63" s="7">
        <f t="shared" si="19"/>
        <v>-8.7399999999999992E-2</v>
      </c>
    </row>
    <row r="64" spans="1:26" s="69" customFormat="1" ht="15" customHeight="1" outlineLevel="1" collapsed="1" x14ac:dyDescent="0.25">
      <c r="A64" s="26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814.34</v>
      </c>
      <c r="E64" s="2"/>
      <c r="F64" s="6">
        <f t="shared" si="12"/>
        <v>3.4971197310661083E-2</v>
      </c>
      <c r="G64" s="2"/>
      <c r="H64" s="2">
        <f>SUM(OSRRefH22_6x_0)</f>
        <v>1000</v>
      </c>
      <c r="I64" s="2"/>
      <c r="J64" s="6">
        <f t="shared" si="13"/>
        <v>2.0338845160371793E-2</v>
      </c>
      <c r="K64" s="2"/>
      <c r="L64" s="2">
        <f t="shared" si="14"/>
        <v>-185.65999999999997</v>
      </c>
      <c r="M64" s="2"/>
      <c r="N64" s="6">
        <f t="shared" si="15"/>
        <v>-0.18565999999999996</v>
      </c>
      <c r="O64" s="14"/>
      <c r="P64" s="2">
        <f>SUM(OSRRefP22_6x_0)</f>
        <v>13206.12</v>
      </c>
      <c r="Q64" s="2"/>
      <c r="R64" s="6">
        <f t="shared" si="16"/>
        <v>7.3756843222390787E-3</v>
      </c>
      <c r="S64" s="2"/>
      <c r="T64" s="2">
        <f>SUM(OSRRefT22_6x_0)</f>
        <v>17000</v>
      </c>
      <c r="U64" s="2"/>
      <c r="V64" s="6">
        <f t="shared" si="17"/>
        <v>5.2973446281030364E-3</v>
      </c>
      <c r="W64" s="2"/>
      <c r="X64" s="2">
        <f t="shared" si="18"/>
        <v>-3793.8799999999992</v>
      </c>
      <c r="Y64" s="2"/>
      <c r="Z64" s="6">
        <f t="shared" si="19"/>
        <v>-0.22316941176470584</v>
      </c>
    </row>
    <row r="65" spans="1:26" s="70" customFormat="1" ht="15" hidden="1" customHeight="1" outlineLevel="2" x14ac:dyDescent="0.25">
      <c r="A65" s="25"/>
      <c r="B65" s="12" t="str">
        <f>CONCATENATE("          ","6305"," - ","FREIGHT OUT")</f>
        <v xml:space="preserve">          6305 - FREIGHT OUT</v>
      </c>
      <c r="C65" s="12"/>
      <c r="D65" s="8">
        <v>814.34</v>
      </c>
      <c r="E65" s="3"/>
      <c r="F65" s="7">
        <f t="shared" ref="F65:F85" si="20">IF(D$12=0,0,D65/D$12)</f>
        <v>3.4971197310661083E-2</v>
      </c>
      <c r="G65" s="3"/>
      <c r="H65" s="8">
        <v>1000</v>
      </c>
      <c r="I65" s="3"/>
      <c r="J65" s="7">
        <f t="shared" ref="J65:J85" si="21">IF(H$12=0,0,H65/H$12)</f>
        <v>2.0338845160371793E-2</v>
      </c>
      <c r="K65" s="3"/>
      <c r="L65" s="8">
        <f t="shared" ref="L65:L85" si="22">+D65-H65</f>
        <v>-185.65999999999997</v>
      </c>
      <c r="M65" s="3"/>
      <c r="N65" s="7">
        <f t="shared" ref="N65:N85" si="23">IF(H65=0,0,L65/H65)</f>
        <v>-0.18565999999999996</v>
      </c>
      <c r="O65" s="12"/>
      <c r="P65" s="8">
        <v>13204.53</v>
      </c>
      <c r="Q65" s="3"/>
      <c r="R65" s="7">
        <f t="shared" ref="R65:R85" si="24">IF(P$12=0,0,P65/P$12)</f>
        <v>7.3747962992563735E-3</v>
      </c>
      <c r="S65" s="3"/>
      <c r="T65" s="8">
        <v>17000</v>
      </c>
      <c r="U65" s="3"/>
      <c r="V65" s="7">
        <f t="shared" ref="V65:V85" si="25">IF(T$12=0,0,T65/T$12)</f>
        <v>5.2973446281030364E-3</v>
      </c>
      <c r="W65" s="3"/>
      <c r="X65" s="8">
        <f t="shared" ref="X65:X85" si="26">+P65-T65</f>
        <v>-3795.4699999999993</v>
      </c>
      <c r="Y65" s="3"/>
      <c r="Z65" s="7">
        <f t="shared" ref="Z65:Z85" si="27">IF(T65=0,0,X65/T65)</f>
        <v>-0.22326294117647055</v>
      </c>
    </row>
    <row r="66" spans="1:26" s="70" customFormat="1" ht="15" hidden="1" customHeight="1" outlineLevel="2" x14ac:dyDescent="0.25">
      <c r="A66" s="25"/>
      <c r="B66" s="12" t="str">
        <f>CONCATENATE("          ","6307"," - ","POSTAGE")</f>
        <v xml:space="preserve">          6307 - POSTAGE</v>
      </c>
      <c r="C66" s="12"/>
      <c r="D66" s="8"/>
      <c r="E66" s="3"/>
      <c r="F66" s="7">
        <f t="shared" si="20"/>
        <v>0</v>
      </c>
      <c r="G66" s="3"/>
      <c r="H66" s="8"/>
      <c r="I66" s="3"/>
      <c r="J66" s="7">
        <f t="shared" si="21"/>
        <v>0</v>
      </c>
      <c r="K66" s="3"/>
      <c r="L66" s="8">
        <f t="shared" si="22"/>
        <v>0</v>
      </c>
      <c r="M66" s="3"/>
      <c r="N66" s="7">
        <f t="shared" si="23"/>
        <v>0</v>
      </c>
      <c r="O66" s="12"/>
      <c r="P66" s="8">
        <v>1.59</v>
      </c>
      <c r="Q66" s="3"/>
      <c r="R66" s="7">
        <f t="shared" si="24"/>
        <v>8.8802298270499849E-7</v>
      </c>
      <c r="S66" s="3"/>
      <c r="T66" s="8"/>
      <c r="U66" s="3"/>
      <c r="V66" s="7">
        <f t="shared" si="25"/>
        <v>0</v>
      </c>
      <c r="W66" s="3"/>
      <c r="X66" s="8">
        <f t="shared" si="26"/>
        <v>1.59</v>
      </c>
      <c r="Y66" s="3"/>
      <c r="Z66" s="7">
        <f t="shared" si="27"/>
        <v>0</v>
      </c>
    </row>
    <row r="67" spans="1:26" s="69" customFormat="1" ht="15" customHeight="1" outlineLevel="1" collapsed="1" x14ac:dyDescent="0.25">
      <c r="A67" s="26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750</v>
      </c>
      <c r="I67" s="2"/>
      <c r="J67" s="6">
        <f t="shared" si="21"/>
        <v>1.5254133870278845E-2</v>
      </c>
      <c r="K67" s="2"/>
      <c r="L67" s="2">
        <f t="shared" si="22"/>
        <v>-750</v>
      </c>
      <c r="M67" s="2"/>
      <c r="N67" s="6">
        <f t="shared" si="23"/>
        <v>-1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2750</v>
      </c>
      <c r="U67" s="2"/>
      <c r="V67" s="6">
        <f t="shared" si="25"/>
        <v>8.5692339572254999E-4</v>
      </c>
      <c r="W67" s="2"/>
      <c r="X67" s="2">
        <f t="shared" si="26"/>
        <v>-2750</v>
      </c>
      <c r="Y67" s="2"/>
      <c r="Z67" s="6">
        <f t="shared" si="27"/>
        <v>-1</v>
      </c>
    </row>
    <row r="68" spans="1:26" s="70" customFormat="1" ht="15" hidden="1" customHeight="1" outlineLevel="2" x14ac:dyDescent="0.25">
      <c r="A68" s="25"/>
      <c r="B68" s="12" t="str">
        <f>CONCATENATE("          ","6279"," - ","GENERAL EXPENSE")</f>
        <v xml:space="preserve">          6279 - GENERAL EXPENSE</v>
      </c>
      <c r="C68" s="12"/>
      <c r="D68" s="8"/>
      <c r="E68" s="3"/>
      <c r="F68" s="7">
        <f t="shared" si="20"/>
        <v>0</v>
      </c>
      <c r="G68" s="3"/>
      <c r="H68" s="8">
        <v>750</v>
      </c>
      <c r="I68" s="3"/>
      <c r="J68" s="7">
        <f t="shared" si="21"/>
        <v>1.5254133870278845E-2</v>
      </c>
      <c r="K68" s="3"/>
      <c r="L68" s="8">
        <f t="shared" si="22"/>
        <v>-750</v>
      </c>
      <c r="M68" s="3"/>
      <c r="N68" s="7">
        <f t="shared" si="23"/>
        <v>-1</v>
      </c>
      <c r="O68" s="12"/>
      <c r="P68" s="8"/>
      <c r="Q68" s="3"/>
      <c r="R68" s="7">
        <f t="shared" si="24"/>
        <v>0</v>
      </c>
      <c r="S68" s="3"/>
      <c r="T68" s="8">
        <v>2750</v>
      </c>
      <c r="U68" s="3"/>
      <c r="V68" s="7">
        <f t="shared" si="25"/>
        <v>8.5692339572254999E-4</v>
      </c>
      <c r="W68" s="3"/>
      <c r="X68" s="8">
        <f t="shared" si="26"/>
        <v>-2750</v>
      </c>
      <c r="Y68" s="3"/>
      <c r="Z68" s="7">
        <f t="shared" si="27"/>
        <v>-1</v>
      </c>
    </row>
    <row r="69" spans="1:26" s="69" customFormat="1" ht="15" customHeight="1" outlineLevel="1" collapsed="1" x14ac:dyDescent="0.25">
      <c r="A69" s="26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4.2944221468503428E-2</v>
      </c>
      <c r="G69" s="2"/>
      <c r="H69" s="2">
        <f>SUM(OSRRefH22_8x_0)</f>
        <v>1000</v>
      </c>
      <c r="I69" s="2"/>
      <c r="J69" s="6">
        <f t="shared" si="21"/>
        <v>2.0338845160371793E-2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15000</v>
      </c>
      <c r="Q69" s="2"/>
      <c r="R69" s="6">
        <f t="shared" si="24"/>
        <v>8.3775753085377214E-3</v>
      </c>
      <c r="S69" s="2"/>
      <c r="T69" s="2">
        <f>SUM(OSRRefT22_8x_0)</f>
        <v>15000</v>
      </c>
      <c r="U69" s="2"/>
      <c r="V69" s="6">
        <f t="shared" si="25"/>
        <v>4.6741276130320914E-3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25">
      <c r="A70" s="25"/>
      <c r="B70" s="12" t="str">
        <f>CONCATENATE("          ","6408"," - ","INVENTORY ADJUSTMENT")</f>
        <v xml:space="preserve">          6408 - INVENTORY ADJUSTMENT</v>
      </c>
      <c r="C70" s="12"/>
      <c r="D70" s="8">
        <v>1000</v>
      </c>
      <c r="E70" s="3"/>
      <c r="F70" s="7">
        <f t="shared" si="20"/>
        <v>4.2944221468503428E-2</v>
      </c>
      <c r="G70" s="3"/>
      <c r="H70" s="8">
        <v>1000</v>
      </c>
      <c r="I70" s="3"/>
      <c r="J70" s="7">
        <f t="shared" si="21"/>
        <v>2.0338845160371793E-2</v>
      </c>
      <c r="K70" s="3"/>
      <c r="L70" s="8">
        <f t="shared" si="22"/>
        <v>0</v>
      </c>
      <c r="M70" s="3"/>
      <c r="N70" s="7">
        <f t="shared" si="23"/>
        <v>0</v>
      </c>
      <c r="O70" s="12"/>
      <c r="P70" s="8">
        <v>15000</v>
      </c>
      <c r="Q70" s="3"/>
      <c r="R70" s="7">
        <f t="shared" si="24"/>
        <v>8.3775753085377214E-3</v>
      </c>
      <c r="S70" s="3"/>
      <c r="T70" s="8">
        <v>15000</v>
      </c>
      <c r="U70" s="3"/>
      <c r="V70" s="7">
        <f t="shared" si="25"/>
        <v>4.6741276130320914E-3</v>
      </c>
      <c r="W70" s="3"/>
      <c r="X70" s="8">
        <f t="shared" si="26"/>
        <v>0</v>
      </c>
      <c r="Y70" s="3"/>
      <c r="Z70" s="7">
        <f t="shared" si="27"/>
        <v>0</v>
      </c>
    </row>
    <row r="71" spans="1:26" s="69" customFormat="1" ht="15" customHeight="1" outlineLevel="1" collapsed="1" x14ac:dyDescent="0.25">
      <c r="A71" s="26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21.85</v>
      </c>
      <c r="E71" s="2"/>
      <c r="F71" s="6">
        <f t="shared" si="20"/>
        <v>9.3833123908679988E-4</v>
      </c>
      <c r="G71" s="2"/>
      <c r="H71" s="2">
        <f>SUM(OSRRefH22_9x_0)</f>
        <v>80</v>
      </c>
      <c r="I71" s="2"/>
      <c r="J71" s="6">
        <f t="shared" si="21"/>
        <v>1.6271076128297436E-3</v>
      </c>
      <c r="K71" s="2"/>
      <c r="L71" s="2">
        <f t="shared" si="22"/>
        <v>-58.15</v>
      </c>
      <c r="M71" s="2"/>
      <c r="N71" s="6">
        <f t="shared" si="23"/>
        <v>-0.72687499999999994</v>
      </c>
      <c r="O71" s="14"/>
      <c r="P71" s="2">
        <f>SUM(OSRRefP22_9x_0)</f>
        <v>6084.25</v>
      </c>
      <c r="Q71" s="2"/>
      <c r="R71" s="6">
        <f t="shared" si="24"/>
        <v>3.398084171398042E-3</v>
      </c>
      <c r="S71" s="2"/>
      <c r="T71" s="2">
        <f>SUM(OSRRefT22_9x_0)</f>
        <v>880</v>
      </c>
      <c r="U71" s="2"/>
      <c r="V71" s="6">
        <f t="shared" si="25"/>
        <v>2.7421548663121603E-4</v>
      </c>
      <c r="W71" s="2"/>
      <c r="X71" s="2">
        <f t="shared" si="26"/>
        <v>5204.25</v>
      </c>
      <c r="Y71" s="2"/>
      <c r="Z71" s="6">
        <f t="shared" si="27"/>
        <v>5.9139204545454547</v>
      </c>
    </row>
    <row r="72" spans="1:26" s="70" customFormat="1" ht="15" hidden="1" customHeight="1" outlineLevel="2" x14ac:dyDescent="0.25">
      <c r="A72" s="25"/>
      <c r="B72" s="12" t="str">
        <f>CONCATENATE("          ","6371"," - ","COMPUTER SOFTWARE MAINTENANCE")</f>
        <v xml:space="preserve">          6371 - COMPUTER SOFTWARE MAINTENANCE</v>
      </c>
      <c r="C72" s="12"/>
      <c r="D72" s="8"/>
      <c r="E72" s="3"/>
      <c r="F72" s="7">
        <f t="shared" si="20"/>
        <v>0</v>
      </c>
      <c r="G72" s="3"/>
      <c r="H72" s="8">
        <v>0</v>
      </c>
      <c r="I72" s="3"/>
      <c r="J72" s="7">
        <f t="shared" si="21"/>
        <v>0</v>
      </c>
      <c r="K72" s="3"/>
      <c r="L72" s="8">
        <f t="shared" si="22"/>
        <v>0</v>
      </c>
      <c r="M72" s="3"/>
      <c r="N72" s="7">
        <f t="shared" si="23"/>
        <v>0</v>
      </c>
      <c r="O72" s="12"/>
      <c r="P72" s="8">
        <v>5775</v>
      </c>
      <c r="Q72" s="3"/>
      <c r="R72" s="7">
        <f t="shared" si="24"/>
        <v>3.2253664937870229E-3</v>
      </c>
      <c r="S72" s="3"/>
      <c r="T72" s="8">
        <v>0</v>
      </c>
      <c r="U72" s="3"/>
      <c r="V72" s="7">
        <f t="shared" si="25"/>
        <v>0</v>
      </c>
      <c r="W72" s="3"/>
      <c r="X72" s="8">
        <f t="shared" si="26"/>
        <v>5775</v>
      </c>
      <c r="Y72" s="3"/>
      <c r="Z72" s="7">
        <f t="shared" si="27"/>
        <v>0</v>
      </c>
    </row>
    <row r="73" spans="1:26" s="70" customFormat="1" ht="15" hidden="1" customHeight="1" outlineLevel="2" x14ac:dyDescent="0.25">
      <c r="A73" s="25"/>
      <c r="B73" s="12" t="str">
        <f>CONCATENATE("          ","6373"," - ","MAINTENANCE CONTRACTS")</f>
        <v xml:space="preserve">          6373 - MAINTENANCE CONTRACTS</v>
      </c>
      <c r="C73" s="12"/>
      <c r="D73" s="8">
        <v>21.85</v>
      </c>
      <c r="E73" s="3"/>
      <c r="F73" s="7">
        <f t="shared" si="20"/>
        <v>9.3833123908679988E-4</v>
      </c>
      <c r="G73" s="3"/>
      <c r="H73" s="8">
        <v>40</v>
      </c>
      <c r="I73" s="3"/>
      <c r="J73" s="7">
        <f t="shared" si="21"/>
        <v>8.1355380641487179E-4</v>
      </c>
      <c r="K73" s="3"/>
      <c r="L73" s="8">
        <f t="shared" si="22"/>
        <v>-18.149999999999999</v>
      </c>
      <c r="M73" s="3"/>
      <c r="N73" s="7">
        <f t="shared" si="23"/>
        <v>-0.45374999999999999</v>
      </c>
      <c r="O73" s="12"/>
      <c r="P73" s="8">
        <v>171.83</v>
      </c>
      <c r="Q73" s="3"/>
      <c r="R73" s="7">
        <f t="shared" si="24"/>
        <v>9.5967917684402452E-5</v>
      </c>
      <c r="S73" s="3"/>
      <c r="T73" s="8">
        <v>440</v>
      </c>
      <c r="U73" s="3"/>
      <c r="V73" s="7">
        <f t="shared" si="25"/>
        <v>1.3710774331560801E-4</v>
      </c>
      <c r="W73" s="3"/>
      <c r="X73" s="8">
        <f t="shared" si="26"/>
        <v>-268.16999999999996</v>
      </c>
      <c r="Y73" s="3"/>
      <c r="Z73" s="7">
        <f t="shared" si="27"/>
        <v>-0.60947727272727259</v>
      </c>
    </row>
    <row r="74" spans="1:26" s="70" customFormat="1" ht="15" hidden="1" customHeight="1" outlineLevel="2" x14ac:dyDescent="0.25">
      <c r="A74" s="25"/>
      <c r="B74" s="12" t="str">
        <f>CONCATENATE("          ","6375"," - ","OUTSIDE REPAIRS &amp; MAINTENANCE")</f>
        <v xml:space="preserve">          6375 - OUTSIDE REPAIRS &amp; MAINTENANCE</v>
      </c>
      <c r="C74" s="12"/>
      <c r="D74" s="8"/>
      <c r="E74" s="3"/>
      <c r="F74" s="7">
        <f t="shared" si="20"/>
        <v>0</v>
      </c>
      <c r="G74" s="3"/>
      <c r="H74" s="8">
        <v>40</v>
      </c>
      <c r="I74" s="3"/>
      <c r="J74" s="7">
        <f t="shared" si="21"/>
        <v>8.1355380641487179E-4</v>
      </c>
      <c r="K74" s="3"/>
      <c r="L74" s="8">
        <f t="shared" si="22"/>
        <v>-40</v>
      </c>
      <c r="M74" s="3"/>
      <c r="N74" s="7">
        <f t="shared" si="23"/>
        <v>-1</v>
      </c>
      <c r="O74" s="12"/>
      <c r="P74" s="8">
        <v>137.41999999999999</v>
      </c>
      <c r="Q74" s="3"/>
      <c r="R74" s="7">
        <f t="shared" si="24"/>
        <v>7.6749759926616906E-5</v>
      </c>
      <c r="S74" s="3"/>
      <c r="T74" s="8">
        <v>440</v>
      </c>
      <c r="U74" s="3"/>
      <c r="V74" s="7">
        <f t="shared" si="25"/>
        <v>1.3710774331560801E-4</v>
      </c>
      <c r="W74" s="3"/>
      <c r="X74" s="8">
        <f t="shared" si="26"/>
        <v>-302.58000000000004</v>
      </c>
      <c r="Y74" s="3"/>
      <c r="Z74" s="7">
        <f t="shared" si="27"/>
        <v>-0.68768181818181828</v>
      </c>
    </row>
    <row r="75" spans="1:26" s="69" customFormat="1" ht="15" customHeight="1" outlineLevel="1" collapsed="1" x14ac:dyDescent="0.25">
      <c r="A75" s="26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1587.59</v>
      </c>
      <c r="E75" s="2"/>
      <c r="F75" s="6">
        <f t="shared" si="20"/>
        <v>6.8177816561181354E-2</v>
      </c>
      <c r="G75" s="2"/>
      <c r="H75" s="2">
        <f>SUM(OSRRefH22_10x_0)</f>
        <v>300</v>
      </c>
      <c r="I75" s="2"/>
      <c r="J75" s="6">
        <f t="shared" si="21"/>
        <v>6.1016535481115382E-3</v>
      </c>
      <c r="K75" s="2"/>
      <c r="L75" s="2">
        <f t="shared" si="22"/>
        <v>1287.5899999999999</v>
      </c>
      <c r="M75" s="2"/>
      <c r="N75" s="6">
        <f t="shared" si="23"/>
        <v>4.2919666666666663</v>
      </c>
      <c r="O75" s="14"/>
      <c r="P75" s="2">
        <f>SUM(OSRRefP22_10x_0)</f>
        <v>6427.98</v>
      </c>
      <c r="Q75" s="2"/>
      <c r="R75" s="6">
        <f t="shared" si="24"/>
        <v>3.5900591021182865E-3</v>
      </c>
      <c r="S75" s="2"/>
      <c r="T75" s="2">
        <f>SUM(OSRRefT22_10x_0)</f>
        <v>5200</v>
      </c>
      <c r="U75" s="2"/>
      <c r="V75" s="6">
        <f t="shared" si="25"/>
        <v>1.6203642391844583E-3</v>
      </c>
      <c r="W75" s="2"/>
      <c r="X75" s="2">
        <f t="shared" si="26"/>
        <v>1227.9799999999996</v>
      </c>
      <c r="Y75" s="2"/>
      <c r="Z75" s="6">
        <f t="shared" si="27"/>
        <v>0.23614999999999992</v>
      </c>
    </row>
    <row r="76" spans="1:26" s="70" customFormat="1" ht="15" hidden="1" customHeight="1" outlineLevel="2" x14ac:dyDescent="0.25">
      <c r="A76" s="25"/>
      <c r="B76" s="12" t="str">
        <f>CONCATENATE("          ","6258"," - ","MEMBERSHIP DUES")</f>
        <v xml:space="preserve">          6258 - MEMBERSHIP DUES</v>
      </c>
      <c r="C76" s="12"/>
      <c r="D76" s="8">
        <v>143.84</v>
      </c>
      <c r="E76" s="3"/>
      <c r="F76" s="7">
        <f t="shared" si="20"/>
        <v>6.177096816029533E-3</v>
      </c>
      <c r="G76" s="3"/>
      <c r="H76" s="8">
        <v>300</v>
      </c>
      <c r="I76" s="3"/>
      <c r="J76" s="7">
        <f t="shared" si="21"/>
        <v>6.1016535481115382E-3</v>
      </c>
      <c r="K76" s="3"/>
      <c r="L76" s="8">
        <f t="shared" si="22"/>
        <v>-156.16</v>
      </c>
      <c r="M76" s="3"/>
      <c r="N76" s="7">
        <f t="shared" si="23"/>
        <v>-0.52053333333333329</v>
      </c>
      <c r="O76" s="12"/>
      <c r="P76" s="8">
        <v>3076.59</v>
      </c>
      <c r="Q76" s="3"/>
      <c r="R76" s="7">
        <f t="shared" si="24"/>
        <v>1.718290961232938E-3</v>
      </c>
      <c r="S76" s="3"/>
      <c r="T76" s="8">
        <v>3300</v>
      </c>
      <c r="U76" s="3"/>
      <c r="V76" s="7">
        <f t="shared" si="25"/>
        <v>1.0283080748670599E-3</v>
      </c>
      <c r="W76" s="3"/>
      <c r="X76" s="8">
        <f t="shared" si="26"/>
        <v>-223.40999999999985</v>
      </c>
      <c r="Y76" s="3"/>
      <c r="Z76" s="7">
        <f t="shared" si="27"/>
        <v>-6.7699999999999955E-2</v>
      </c>
    </row>
    <row r="77" spans="1:26" s="70" customFormat="1" ht="15" hidden="1" customHeight="1" outlineLevel="2" x14ac:dyDescent="0.25">
      <c r="A77" s="25"/>
      <c r="B77" s="12" t="str">
        <f>CONCATENATE("          ","6275"," - ","SUBSCRIPTIONS")</f>
        <v xml:space="preserve">          6275 - SUBSCRIPTIONS</v>
      </c>
      <c r="C77" s="12"/>
      <c r="D77" s="8">
        <v>1443.75</v>
      </c>
      <c r="E77" s="3"/>
      <c r="F77" s="7">
        <f t="shared" si="20"/>
        <v>6.2000719745151818E-2</v>
      </c>
      <c r="G77" s="3"/>
      <c r="H77" s="8"/>
      <c r="I77" s="3"/>
      <c r="J77" s="7">
        <f t="shared" si="21"/>
        <v>0</v>
      </c>
      <c r="K77" s="3"/>
      <c r="L77" s="8">
        <f t="shared" si="22"/>
        <v>1443.75</v>
      </c>
      <c r="M77" s="3"/>
      <c r="N77" s="7">
        <f t="shared" si="23"/>
        <v>0</v>
      </c>
      <c r="O77" s="12"/>
      <c r="P77" s="8">
        <v>3351.39</v>
      </c>
      <c r="Q77" s="3"/>
      <c r="R77" s="7">
        <f t="shared" si="24"/>
        <v>1.8717681408853487E-3</v>
      </c>
      <c r="S77" s="3"/>
      <c r="T77" s="8">
        <v>1900</v>
      </c>
      <c r="U77" s="3"/>
      <c r="V77" s="7">
        <f t="shared" si="25"/>
        <v>5.9205616431739821E-4</v>
      </c>
      <c r="W77" s="3"/>
      <c r="X77" s="8">
        <f t="shared" si="26"/>
        <v>1451.3899999999999</v>
      </c>
      <c r="Y77" s="3"/>
      <c r="Z77" s="7">
        <f t="shared" si="27"/>
        <v>0.76388947368421045</v>
      </c>
    </row>
    <row r="78" spans="1:26" s="69" customFormat="1" ht="15" customHeight="1" outlineLevel="1" collapsed="1" x14ac:dyDescent="0.25">
      <c r="A78" s="26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950.13</v>
      </c>
      <c r="E78" s="2"/>
      <c r="F78" s="6">
        <f t="shared" si="20"/>
        <v>4.0802593143869158E-2</v>
      </c>
      <c r="G78" s="2"/>
      <c r="H78" s="2">
        <f>SUM(OSRRefH22_11x_0)</f>
        <v>700</v>
      </c>
      <c r="I78" s="2"/>
      <c r="J78" s="6">
        <f t="shared" si="21"/>
        <v>1.4237191612260256E-2</v>
      </c>
      <c r="K78" s="2"/>
      <c r="L78" s="2">
        <f t="shared" si="22"/>
        <v>250.13</v>
      </c>
      <c r="M78" s="2"/>
      <c r="N78" s="6">
        <f t="shared" si="23"/>
        <v>0.35732857142857144</v>
      </c>
      <c r="O78" s="14"/>
      <c r="P78" s="2">
        <f>SUM(OSRRefP22_11x_0)</f>
        <v>2483.75</v>
      </c>
      <c r="Q78" s="2"/>
      <c r="R78" s="6">
        <f t="shared" si="24"/>
        <v>1.3871868448387043E-3</v>
      </c>
      <c r="S78" s="2"/>
      <c r="T78" s="2">
        <f>SUM(OSRRefT22_11x_0)</f>
        <v>9400</v>
      </c>
      <c r="U78" s="2"/>
      <c r="V78" s="6">
        <f t="shared" si="25"/>
        <v>2.9291199708334436E-3</v>
      </c>
      <c r="W78" s="2"/>
      <c r="X78" s="2">
        <f t="shared" si="26"/>
        <v>-6916.25</v>
      </c>
      <c r="Y78" s="2"/>
      <c r="Z78" s="6">
        <f t="shared" si="27"/>
        <v>-0.73577127659574471</v>
      </c>
    </row>
    <row r="79" spans="1:26" s="70" customFormat="1" ht="15" hidden="1" customHeight="1" outlineLevel="2" x14ac:dyDescent="0.25">
      <c r="A79" s="25"/>
      <c r="B79" s="12" t="str">
        <f>CONCATENATE("          ","6241"," - ","OFFICE EXPENSE")</f>
        <v xml:space="preserve">          6241 - OFFICE EXPENSE</v>
      </c>
      <c r="C79" s="12"/>
      <c r="D79" s="8">
        <v>433.78</v>
      </c>
      <c r="E79" s="3"/>
      <c r="F79" s="7">
        <f t="shared" si="20"/>
        <v>1.8628344388607415E-2</v>
      </c>
      <c r="G79" s="3"/>
      <c r="H79" s="8">
        <v>300</v>
      </c>
      <c r="I79" s="3"/>
      <c r="J79" s="7">
        <f t="shared" si="21"/>
        <v>6.1016535481115382E-3</v>
      </c>
      <c r="K79" s="3"/>
      <c r="L79" s="8">
        <f t="shared" si="22"/>
        <v>133.77999999999997</v>
      </c>
      <c r="M79" s="3"/>
      <c r="N79" s="7">
        <f t="shared" si="23"/>
        <v>0.44593333333333324</v>
      </c>
      <c r="O79" s="12"/>
      <c r="P79" s="8">
        <v>1772.37</v>
      </c>
      <c r="Q79" s="3"/>
      <c r="R79" s="7">
        <f t="shared" si="24"/>
        <v>9.8987754330620006E-4</v>
      </c>
      <c r="S79" s="3"/>
      <c r="T79" s="8">
        <v>4500</v>
      </c>
      <c r="U79" s="3"/>
      <c r="V79" s="7">
        <f t="shared" si="25"/>
        <v>1.4022382839096272E-3</v>
      </c>
      <c r="W79" s="3"/>
      <c r="X79" s="8">
        <f t="shared" si="26"/>
        <v>-2727.63</v>
      </c>
      <c r="Y79" s="3"/>
      <c r="Z79" s="7">
        <f t="shared" si="27"/>
        <v>-0.60614000000000001</v>
      </c>
    </row>
    <row r="80" spans="1:26" s="70" customFormat="1" ht="15" hidden="1" customHeight="1" outlineLevel="2" x14ac:dyDescent="0.25">
      <c r="A80" s="25"/>
      <c r="B80" s="12" t="str">
        <f>CONCATENATE("          ","6247"," - ","STORE SUPPLIES")</f>
        <v xml:space="preserve">          6247 - STORE SUPPLIES</v>
      </c>
      <c r="C80" s="12"/>
      <c r="D80" s="8">
        <v>516.35</v>
      </c>
      <c r="E80" s="3"/>
      <c r="F80" s="7">
        <f t="shared" si="20"/>
        <v>2.2174248755261746E-2</v>
      </c>
      <c r="G80" s="3"/>
      <c r="H80" s="8">
        <v>400</v>
      </c>
      <c r="I80" s="3"/>
      <c r="J80" s="7">
        <f t="shared" si="21"/>
        <v>8.135538064148717E-3</v>
      </c>
      <c r="K80" s="3"/>
      <c r="L80" s="8">
        <f t="shared" si="22"/>
        <v>116.35000000000002</v>
      </c>
      <c r="M80" s="3"/>
      <c r="N80" s="7">
        <f t="shared" si="23"/>
        <v>0.29087500000000005</v>
      </c>
      <c r="O80" s="12"/>
      <c r="P80" s="8">
        <v>711.38</v>
      </c>
      <c r="Q80" s="3"/>
      <c r="R80" s="7">
        <f t="shared" si="24"/>
        <v>3.9730930153250425E-4</v>
      </c>
      <c r="S80" s="3"/>
      <c r="T80" s="8">
        <v>4900</v>
      </c>
      <c r="U80" s="3"/>
      <c r="V80" s="7">
        <f t="shared" si="25"/>
        <v>1.5268816869238163E-3</v>
      </c>
      <c r="W80" s="3"/>
      <c r="X80" s="8">
        <f t="shared" si="26"/>
        <v>-4188.62</v>
      </c>
      <c r="Y80" s="3"/>
      <c r="Z80" s="7">
        <f t="shared" si="27"/>
        <v>-0.85482040816326532</v>
      </c>
    </row>
    <row r="81" spans="1:26" s="69" customFormat="1" ht="15" customHeight="1" outlineLevel="1" collapsed="1" x14ac:dyDescent="0.25">
      <c r="A81" s="26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483.05</v>
      </c>
      <c r="E81" s="2"/>
      <c r="F81" s="6">
        <f t="shared" si="20"/>
        <v>2.0744206180360582E-2</v>
      </c>
      <c r="G81" s="2"/>
      <c r="H81" s="2">
        <f>SUM(OSRRefH22_12x_0)</f>
        <v>350</v>
      </c>
      <c r="I81" s="2"/>
      <c r="J81" s="6">
        <f t="shared" si="21"/>
        <v>7.1185958061301281E-3</v>
      </c>
      <c r="K81" s="2"/>
      <c r="L81" s="2">
        <f t="shared" si="22"/>
        <v>133.05000000000001</v>
      </c>
      <c r="M81" s="2"/>
      <c r="N81" s="6">
        <f t="shared" si="23"/>
        <v>0.38014285714285717</v>
      </c>
      <c r="O81" s="14"/>
      <c r="P81" s="2">
        <f>SUM(OSRRefP22_12x_0)</f>
        <v>5959.6</v>
      </c>
      <c r="Q81" s="2"/>
      <c r="R81" s="6">
        <f t="shared" si="24"/>
        <v>3.3284665205840936E-3</v>
      </c>
      <c r="S81" s="2"/>
      <c r="T81" s="2">
        <f>SUM(OSRRefT22_12x_0)</f>
        <v>4450</v>
      </c>
      <c r="U81" s="2"/>
      <c r="V81" s="6">
        <f t="shared" si="25"/>
        <v>1.3866578585328537E-3</v>
      </c>
      <c r="W81" s="2"/>
      <c r="X81" s="2">
        <f t="shared" si="26"/>
        <v>1509.6000000000004</v>
      </c>
      <c r="Y81" s="2"/>
      <c r="Z81" s="6">
        <f t="shared" si="27"/>
        <v>0.33923595505617987</v>
      </c>
    </row>
    <row r="82" spans="1:26" s="70" customFormat="1" ht="15" hidden="1" customHeight="1" outlineLevel="2" x14ac:dyDescent="0.25">
      <c r="A82" s="25"/>
      <c r="B82" s="12" t="str">
        <f>CONCATENATE("          ","6303"," - ","DATA PHONE LINES")</f>
        <v xml:space="preserve">          6303 - DATA PHONE LINES</v>
      </c>
      <c r="C82" s="12"/>
      <c r="D82" s="8"/>
      <c r="E82" s="3"/>
      <c r="F82" s="7">
        <f t="shared" si="20"/>
        <v>0</v>
      </c>
      <c r="G82" s="3"/>
      <c r="H82" s="8">
        <v>0</v>
      </c>
      <c r="I82" s="3"/>
      <c r="J82" s="7">
        <f t="shared" si="21"/>
        <v>0</v>
      </c>
      <c r="K82" s="3"/>
      <c r="L82" s="8">
        <f t="shared" si="22"/>
        <v>0</v>
      </c>
      <c r="M82" s="3"/>
      <c r="N82" s="7">
        <f t="shared" si="23"/>
        <v>0</v>
      </c>
      <c r="O82" s="12"/>
      <c r="P82" s="8">
        <v>295</v>
      </c>
      <c r="Q82" s="3"/>
      <c r="R82" s="7">
        <f t="shared" si="24"/>
        <v>1.6475898106790851E-4</v>
      </c>
      <c r="S82" s="3"/>
      <c r="T82" s="8">
        <v>0</v>
      </c>
      <c r="U82" s="3"/>
      <c r="V82" s="7">
        <f t="shared" si="25"/>
        <v>0</v>
      </c>
      <c r="W82" s="3"/>
      <c r="X82" s="8">
        <f t="shared" si="26"/>
        <v>295</v>
      </c>
      <c r="Y82" s="3"/>
      <c r="Z82" s="7">
        <f t="shared" si="27"/>
        <v>0</v>
      </c>
    </row>
    <row r="83" spans="1:26" s="70" customFormat="1" ht="15" hidden="1" customHeight="1" outlineLevel="2" x14ac:dyDescent="0.25">
      <c r="A83" s="25"/>
      <c r="B83" s="12" t="str">
        <f>CONCATENATE("          ","6309"," - ","TELEPHONE")</f>
        <v xml:space="preserve">          6309 - TELEPHONE</v>
      </c>
      <c r="C83" s="12"/>
      <c r="D83" s="8">
        <v>483.05</v>
      </c>
      <c r="E83" s="3"/>
      <c r="F83" s="7">
        <f t="shared" si="20"/>
        <v>2.0744206180360582E-2</v>
      </c>
      <c r="G83" s="3"/>
      <c r="H83" s="8">
        <v>350</v>
      </c>
      <c r="I83" s="3"/>
      <c r="J83" s="7">
        <f t="shared" si="21"/>
        <v>7.1185958061301281E-3</v>
      </c>
      <c r="K83" s="3"/>
      <c r="L83" s="8">
        <f t="shared" si="22"/>
        <v>133.05000000000001</v>
      </c>
      <c r="M83" s="3"/>
      <c r="N83" s="7">
        <f t="shared" si="23"/>
        <v>0.38014285714285717</v>
      </c>
      <c r="O83" s="12"/>
      <c r="P83" s="8">
        <v>5664.6</v>
      </c>
      <c r="Q83" s="3"/>
      <c r="R83" s="7">
        <f t="shared" si="24"/>
        <v>3.1637075395161852E-3</v>
      </c>
      <c r="S83" s="3"/>
      <c r="T83" s="8">
        <v>4450</v>
      </c>
      <c r="U83" s="3"/>
      <c r="V83" s="7">
        <f t="shared" si="25"/>
        <v>1.3866578585328537E-3</v>
      </c>
      <c r="W83" s="3"/>
      <c r="X83" s="8">
        <f t="shared" si="26"/>
        <v>1214.6000000000004</v>
      </c>
      <c r="Y83" s="3"/>
      <c r="Z83" s="7">
        <f t="shared" si="27"/>
        <v>0.27294382022471919</v>
      </c>
    </row>
    <row r="84" spans="1:26" s="69" customFormat="1" ht="15" customHeight="1" outlineLevel="1" collapsed="1" x14ac:dyDescent="0.25">
      <c r="A84" s="26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0</v>
      </c>
      <c r="E84" s="2"/>
      <c r="F84" s="6">
        <f t="shared" si="20"/>
        <v>0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SUM(OSRRefP22_13x_0)</f>
        <v>125</v>
      </c>
      <c r="Q84" s="2"/>
      <c r="R84" s="6">
        <f t="shared" si="24"/>
        <v>6.9813127571147674E-5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125</v>
      </c>
      <c r="Y84" s="2"/>
      <c r="Z84" s="6">
        <f t="shared" si="27"/>
        <v>0</v>
      </c>
    </row>
    <row r="85" spans="1:26" s="70" customFormat="1" ht="15" hidden="1" customHeight="1" outlineLevel="2" x14ac:dyDescent="0.25">
      <c r="A85" s="25"/>
      <c r="B85" s="12" t="str">
        <f>CONCATENATE("          ","6376"," - ","TRAINING")</f>
        <v xml:space="preserve">          6376 - TRAINING</v>
      </c>
      <c r="C85" s="12"/>
      <c r="D85" s="8"/>
      <c r="E85" s="3"/>
      <c r="F85" s="7">
        <f t="shared" si="20"/>
        <v>0</v>
      </c>
      <c r="G85" s="3"/>
      <c r="H85" s="8">
        <v>0</v>
      </c>
      <c r="I85" s="3"/>
      <c r="J85" s="7">
        <f t="shared" si="21"/>
        <v>0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>
        <v>125</v>
      </c>
      <c r="Q85" s="3"/>
      <c r="R85" s="7">
        <f t="shared" si="24"/>
        <v>6.9813127571147674E-5</v>
      </c>
      <c r="S85" s="3"/>
      <c r="T85" s="8">
        <v>0</v>
      </c>
      <c r="U85" s="3"/>
      <c r="V85" s="7">
        <f t="shared" si="25"/>
        <v>0</v>
      </c>
      <c r="W85" s="3"/>
      <c r="X85" s="8">
        <f t="shared" si="26"/>
        <v>125</v>
      </c>
      <c r="Y85" s="3"/>
      <c r="Z85" s="7">
        <f t="shared" si="27"/>
        <v>0</v>
      </c>
    </row>
    <row r="86" spans="1:26" s="65" customFormat="1" ht="15" customHeight="1" x14ac:dyDescent="0.25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25">
      <c r="A87" s="11"/>
      <c r="B87" s="27" t="s">
        <v>291</v>
      </c>
      <c r="C87" s="11"/>
      <c r="D87" s="5">
        <f>SUM(OSRRefD25x_0)</f>
        <v>2412.0299999999997</v>
      </c>
      <c r="E87" s="5"/>
      <c r="F87" s="13">
        <f>IF(D$12=0,0,D87/D$12)</f>
        <v>0.10358275050867431</v>
      </c>
      <c r="G87" s="5"/>
      <c r="H87" s="5">
        <f>SUM(OSRRefH25x_0)</f>
        <v>6454</v>
      </c>
      <c r="I87" s="5"/>
      <c r="J87" s="13">
        <f>IF(H$12=0,0,H87/H$12)</f>
        <v>0.13126690666503957</v>
      </c>
      <c r="K87" s="5"/>
      <c r="L87" s="5">
        <f>+D87-H87</f>
        <v>-4041.9700000000003</v>
      </c>
      <c r="M87" s="5"/>
      <c r="N87" s="13">
        <f>IF(H87=0,0,L87/H87)</f>
        <v>-0.62627362875735981</v>
      </c>
      <c r="O87" s="11"/>
      <c r="P87" s="5">
        <f>SUM(OSRRefP25x_0)</f>
        <v>359676.87</v>
      </c>
      <c r="Q87" s="5"/>
      <c r="R87" s="13">
        <f>IF(P$12=0,0,P87/P$12)</f>
        <v>0.2008813376776088</v>
      </c>
      <c r="S87" s="5"/>
      <c r="T87" s="5">
        <f>SUM(OSRRefT25x_0)</f>
        <v>366770.23</v>
      </c>
      <c r="U87" s="5"/>
      <c r="V87" s="13">
        <f>IF(T$12=0,0,T87/T$12)</f>
        <v>0.11428872397874207</v>
      </c>
      <c r="W87" s="5"/>
      <c r="X87" s="5">
        <f>+P87-T87</f>
        <v>-7093.359999999986</v>
      </c>
      <c r="Y87" s="5"/>
      <c r="Z87" s="13">
        <f>IF(T87=0,0,X87/T87)</f>
        <v>-1.9340064759345344E-2</v>
      </c>
    </row>
    <row r="88" spans="1:26" s="70" customFormat="1" ht="15" hidden="1" customHeight="1" outlineLevel="1" x14ac:dyDescent="0.25">
      <c r="A88" s="42"/>
      <c r="B88" s="12" t="str">
        <f>CONCATENATE("          ","9150"," - ","MISC. INCOME")</f>
        <v xml:space="preserve">          9150 - MISC. INCOME</v>
      </c>
      <c r="C88" s="12"/>
      <c r="D88" s="3">
        <f>--427.31</f>
        <v>427.31</v>
      </c>
      <c r="E88" s="3"/>
      <c r="F88" s="20">
        <f>IF(D$12=0,0,D88/D$12)</f>
        <v>1.8350495275706199E-2</v>
      </c>
      <c r="G88" s="3"/>
      <c r="H88" s="3">
        <v>6454</v>
      </c>
      <c r="I88" s="3"/>
      <c r="J88" s="20">
        <f>IF(H$12=0,0,H88/H$12)</f>
        <v>0.13126690666503957</v>
      </c>
      <c r="K88" s="3"/>
      <c r="L88" s="3">
        <f>+D88-H88</f>
        <v>-6026.69</v>
      </c>
      <c r="M88" s="3"/>
      <c r="N88" s="20">
        <f>IF(H88=0,0,L88/H88)</f>
        <v>-0.93379144716454909</v>
      </c>
      <c r="O88" s="12"/>
      <c r="P88" s="3">
        <f>--30042.02</f>
        <v>30042.02</v>
      </c>
      <c r="Q88" s="3"/>
      <c r="R88" s="20">
        <f>IF(P$12=0,0,P88/P$12)</f>
        <v>1.6778618998039761E-2</v>
      </c>
      <c r="S88" s="3"/>
      <c r="T88" s="3">
        <v>38908</v>
      </c>
      <c r="U88" s="3"/>
      <c r="V88" s="20">
        <f>IF(T$12=0,0,T88/T$12)</f>
        <v>1.2124063811190173E-2</v>
      </c>
      <c r="W88" s="3"/>
      <c r="X88" s="3">
        <f>+P88-T88</f>
        <v>-8865.98</v>
      </c>
      <c r="Y88" s="3"/>
      <c r="Z88" s="20">
        <f>IF(T88=0,0,X88/T88)</f>
        <v>-0.2278703608512388</v>
      </c>
    </row>
    <row r="89" spans="1:26" s="70" customFormat="1" ht="15" hidden="1" customHeight="1" outlineLevel="1" x14ac:dyDescent="0.25">
      <c r="A89" s="42"/>
      <c r="B89" s="12" t="str">
        <f>CONCATENATE("          ","9151"," - ","MISC. INCOME")</f>
        <v xml:space="preserve">          9151 - MISC. INCOME</v>
      </c>
      <c r="C89" s="12"/>
      <c r="D89" s="3">
        <f>--626.04</f>
        <v>626.04</v>
      </c>
      <c r="E89" s="3"/>
      <c r="F89" s="20">
        <f>IF(D$12=0,0,D89/D$12)</f>
        <v>2.6884800408141882E-2</v>
      </c>
      <c r="G89" s="3"/>
      <c r="H89" s="3">
        <v>0</v>
      </c>
      <c r="I89" s="3"/>
      <c r="J89" s="20">
        <f>IF(H$12=0,0,H89/H$12)</f>
        <v>0</v>
      </c>
      <c r="K89" s="3"/>
      <c r="L89" s="3">
        <f>+D89-H89</f>
        <v>626.04</v>
      </c>
      <c r="M89" s="3"/>
      <c r="N89" s="20">
        <f>IF(H89=0,0,L89/H89)</f>
        <v>0</v>
      </c>
      <c r="O89" s="12"/>
      <c r="P89" s="3">
        <f>--324387.74</f>
        <v>324387.74</v>
      </c>
      <c r="Q89" s="3"/>
      <c r="R89" s="20">
        <f>IF(P$12=0,0,P89/P$12)</f>
        <v>0.18117218140109026</v>
      </c>
      <c r="S89" s="3"/>
      <c r="T89" s="3">
        <v>327862.23</v>
      </c>
      <c r="U89" s="3"/>
      <c r="V89" s="20">
        <f>IF(T$12=0,0,T89/T$12)</f>
        <v>0.10216466016755189</v>
      </c>
      <c r="W89" s="3"/>
      <c r="X89" s="3">
        <f>+P89-T89</f>
        <v>-3474.4899999999907</v>
      </c>
      <c r="Y89" s="3"/>
      <c r="Z89" s="20">
        <f>IF(T89=0,0,X89/T89)</f>
        <v>-1.0597408551756605E-2</v>
      </c>
    </row>
    <row r="90" spans="1:26" s="70" customFormat="1" ht="15" hidden="1" customHeight="1" outlineLevel="1" x14ac:dyDescent="0.25">
      <c r="A90" s="42"/>
      <c r="B90" s="12" t="str">
        <f>CONCATENATE("          ","9152"," - ","MISC. INCOME")</f>
        <v xml:space="preserve">          9152 - MISC. INCOME</v>
      </c>
      <c r="C90" s="12"/>
      <c r="D90" s="3">
        <f>--1358.68</f>
        <v>1358.68</v>
      </c>
      <c r="E90" s="3"/>
      <c r="F90" s="20">
        <f>IF(D$12=0,0,D90/D$12)</f>
        <v>5.8347454824826235E-2</v>
      </c>
      <c r="G90" s="3"/>
      <c r="H90" s="3"/>
      <c r="I90" s="3"/>
      <c r="J90" s="20">
        <f>IF(H$12=0,0,H90/H$12)</f>
        <v>0</v>
      </c>
      <c r="K90" s="3"/>
      <c r="L90" s="3">
        <f>+D90-H90</f>
        <v>1358.68</v>
      </c>
      <c r="M90" s="3"/>
      <c r="N90" s="20">
        <f>IF(H90=0,0,L90/H90)</f>
        <v>0</v>
      </c>
      <c r="O90" s="12"/>
      <c r="P90" s="3">
        <f>--5247.11</f>
        <v>5247.11</v>
      </c>
      <c r="Q90" s="3"/>
      <c r="R90" s="20">
        <f>IF(P$12=0,0,P90/P$12)</f>
        <v>2.9305372784787574E-3</v>
      </c>
      <c r="S90" s="3"/>
      <c r="T90" s="3"/>
      <c r="U90" s="3"/>
      <c r="V90" s="20">
        <f>IF(T$12=0,0,T90/T$12)</f>
        <v>0</v>
      </c>
      <c r="W90" s="3"/>
      <c r="X90" s="3">
        <f>+P90-T90</f>
        <v>5247.11</v>
      </c>
      <c r="Y90" s="3"/>
      <c r="Z90" s="20">
        <f>IF(T90=0,0,X90/T90)</f>
        <v>0</v>
      </c>
    </row>
    <row r="91" spans="1:26" s="70" customFormat="1" ht="15" hidden="1" customHeight="1" outlineLevel="1" x14ac:dyDescent="0.25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25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25">
      <c r="A93" s="11"/>
      <c r="B93" s="28" t="s">
        <v>292</v>
      </c>
      <c r="C93" s="28"/>
      <c r="D93" s="22">
        <f>+D31-D33+D87</f>
        <v>-30507.630000000012</v>
      </c>
      <c r="E93" s="15"/>
      <c r="F93" s="21">
        <f>IF(D$12=0,0,D93/D$12)</f>
        <v>-1.3101264191991597</v>
      </c>
      <c r="G93" s="15"/>
      <c r="H93" s="22">
        <f>+H31-H33+H87</f>
        <v>-25077.145897489718</v>
      </c>
      <c r="I93" s="15"/>
      <c r="J93" s="21">
        <f>IF(H$12=0,0,H93/H$12)</f>
        <v>-0.5100401874730961</v>
      </c>
      <c r="K93" s="16"/>
      <c r="L93" s="22">
        <f>+D93-H93</f>
        <v>-5430.4841025102942</v>
      </c>
      <c r="M93" s="16"/>
      <c r="N93" s="21">
        <f>IF(H93=0,0,L93/H93)</f>
        <v>0.21655112287135908</v>
      </c>
      <c r="O93" s="27"/>
      <c r="P93" s="22">
        <f>+P31-P33+P87</f>
        <v>267102.86999999982</v>
      </c>
      <c r="Q93" s="15"/>
      <c r="R93" s="21">
        <f>IF(P$12=0,0,P93/P$12)</f>
        <v>0.14917829390343729</v>
      </c>
      <c r="S93" s="15"/>
      <c r="T93" s="22">
        <f>+T31-T33+T87</f>
        <v>661939.81089812296</v>
      </c>
      <c r="U93" s="15"/>
      <c r="V93" s="21">
        <f>IF(T$12=0,0,T93/T$12)</f>
        <v>0.20626607655227713</v>
      </c>
      <c r="W93" s="16"/>
      <c r="X93" s="22">
        <f>+P93-T93</f>
        <v>-394836.94089812314</v>
      </c>
      <c r="Y93" s="16"/>
      <c r="Z93" s="21">
        <f>IF(T93=0,0,X93/T93)</f>
        <v>-0.59648465675815232</v>
      </c>
    </row>
    <row r="94" spans="1:26" ht="15" customHeight="1" x14ac:dyDescent="0.25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25">
      <c r="A95" s="49"/>
      <c r="B95" s="11" t="s">
        <v>293</v>
      </c>
      <c r="C95" s="11"/>
      <c r="D95" s="5">
        <v>1100.74</v>
      </c>
      <c r="E95" s="5"/>
      <c r="F95" s="13">
        <f>IF(D$12=0,0,D95/D$12)</f>
        <v>4.7270422339240462E-2</v>
      </c>
      <c r="G95" s="5"/>
      <c r="H95" s="5">
        <v>9090</v>
      </c>
      <c r="I95" s="5"/>
      <c r="J95" s="13">
        <f>IF(H$12=0,0,H95/H$12)</f>
        <v>0.18488010250777961</v>
      </c>
      <c r="K95" s="5"/>
      <c r="L95" s="5">
        <f>+D95-H95</f>
        <v>-7989.26</v>
      </c>
      <c r="M95" s="5"/>
      <c r="N95" s="13">
        <f>IF(H95=0,0,L95/H95)</f>
        <v>-0.8789064906490649</v>
      </c>
      <c r="O95" s="11"/>
      <c r="P95" s="5">
        <v>201296.94</v>
      </c>
      <c r="Q95" s="5"/>
      <c r="R95" s="13">
        <f>IF(P$12=0,0,P95/P$12)</f>
        <v>0.11242535161521328</v>
      </c>
      <c r="S95" s="5"/>
      <c r="T95" s="5">
        <v>397813</v>
      </c>
      <c r="U95" s="5"/>
      <c r="V95" s="13">
        <f>IF(T$12=0,0,T95/T$12)</f>
        <v>0.12396191520820901</v>
      </c>
      <c r="W95" s="5"/>
      <c r="X95" s="5">
        <f>+P95-T95</f>
        <v>-196516.06</v>
      </c>
      <c r="Y95" s="5"/>
      <c r="Z95" s="13">
        <f>IF(T95=0,0,X95/T95)</f>
        <v>-0.49399104604424693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294</v>
      </c>
      <c r="C97" s="28"/>
      <c r="D97" s="34">
        <f>+D93-D95</f>
        <v>-31608.370000000014</v>
      </c>
      <c r="E97" s="15"/>
      <c r="F97" s="32">
        <f>IF(D$12=0,0,D97/D$12)</f>
        <v>-1.3573968415384001</v>
      </c>
      <c r="G97" s="15"/>
      <c r="H97" s="34">
        <f>+H93-H95</f>
        <v>-34167.145897489718</v>
      </c>
      <c r="I97" s="15"/>
      <c r="J97" s="32">
        <f>IF(H$12=0,0,H97/H$12)</f>
        <v>-0.69492028998087574</v>
      </c>
      <c r="K97" s="16"/>
      <c r="L97" s="34">
        <f>D97-H97</f>
        <v>2558.7758974897042</v>
      </c>
      <c r="M97" s="16"/>
      <c r="N97" s="32">
        <f>IF(H97=0,0,L97/H97)</f>
        <v>-7.4889951451218503E-2</v>
      </c>
      <c r="O97" s="27"/>
      <c r="P97" s="34">
        <f>+P93-P95</f>
        <v>65805.929999999818</v>
      </c>
      <c r="Q97" s="15"/>
      <c r="R97" s="32">
        <f>IF(P$12=0,0,P97/P$12)</f>
        <v>3.6752942288224011E-2</v>
      </c>
      <c r="S97" s="15"/>
      <c r="T97" s="34">
        <f>+T93-T95</f>
        <v>264126.81089812296</v>
      </c>
      <c r="U97" s="15"/>
      <c r="V97" s="32">
        <f>IF(T$12=0,0,T97/T$12)</f>
        <v>8.2304161344068136E-2</v>
      </c>
      <c r="W97" s="16"/>
      <c r="X97" s="34">
        <f>P97-T97</f>
        <v>-198320.88089812314</v>
      </c>
      <c r="Y97" s="16"/>
      <c r="Z97" s="32">
        <f>IF(T97=0,0,X97/T97)</f>
        <v>-0.75085478912104087</v>
      </c>
    </row>
    <row r="98" spans="1:26" ht="15" customHeight="1" x14ac:dyDescent="0.25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25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25">
      <c r="A100" s="11"/>
      <c r="B100" s="28" t="s">
        <v>297</v>
      </c>
      <c r="C100" s="28"/>
      <c r="D100" s="30">
        <f>SUM(D97:D99)</f>
        <v>-31608.370000000014</v>
      </c>
      <c r="E100" s="15"/>
      <c r="F100" s="33">
        <f>IF(D$12=0,0,D100/D$12)</f>
        <v>-1.3573968415384001</v>
      </c>
      <c r="G100" s="15"/>
      <c r="H100" s="30">
        <f>SUM(H97:H99)</f>
        <v>-34167.145897489718</v>
      </c>
      <c r="I100" s="15"/>
      <c r="J100" s="33">
        <f>IF(H$12=0,0,H100/H$12)</f>
        <v>-0.69492028998087574</v>
      </c>
      <c r="K100" s="16"/>
      <c r="L100" s="30">
        <f>+D100-H100</f>
        <v>2558.7758974897042</v>
      </c>
      <c r="M100" s="16"/>
      <c r="N100" s="33">
        <f>IF(H100=0,0,L100/H100)</f>
        <v>-7.4889951451218503E-2</v>
      </c>
      <c r="O100" s="27"/>
      <c r="P100" s="30">
        <f>SUM(P97:P99)</f>
        <v>65805.929999999818</v>
      </c>
      <c r="Q100" s="15"/>
      <c r="R100" s="33">
        <f>IF(P$12=0,0,P100/P$12)</f>
        <v>3.6752942288224011E-2</v>
      </c>
      <c r="S100" s="15"/>
      <c r="T100" s="30">
        <f>SUM(T97:T99)</f>
        <v>264126.81089812296</v>
      </c>
      <c r="U100" s="15"/>
      <c r="V100" s="33">
        <f>IF(T$12=0,0,T100/T$12)</f>
        <v>8.2304161344068136E-2</v>
      </c>
      <c r="W100" s="16"/>
      <c r="X100" s="30">
        <f>+P100-T100</f>
        <v>-198320.88089812314</v>
      </c>
      <c r="Y100" s="16"/>
      <c r="Z100" s="33">
        <f>IF(T100=0,0,X100/T100)</f>
        <v>-0.75085478912104087</v>
      </c>
    </row>
    <row r="101" spans="1:26" ht="15" customHeight="1" x14ac:dyDescent="0.25">
      <c r="A101" s="10"/>
      <c r="C101" s="10"/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A102" s="10"/>
      <c r="B102" s="54">
        <v>44727.874527581022</v>
      </c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A103" s="10"/>
      <c r="B103" s="50" t="s">
        <v>298</v>
      </c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25">
      <c r="A104" s="10"/>
      <c r="B104" s="58"/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  <row r="105" spans="1:26" ht="15" customHeight="1" x14ac:dyDescent="0.25"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78E8D-C84B-3D6D-97F2-4F3339066D28}">
  <sheetPr>
    <tabColor rgb="FF92D050"/>
    <outlinePr summaryBelow="0" summaryRight="0"/>
  </sheetPr>
  <dimension ref="A2:Z3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","324"," - ","Textbook Rental")</f>
        <v>Department 324 - Textbook Rental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9857.34</v>
      </c>
      <c r="E12" s="5"/>
      <c r="F12" s="13"/>
      <c r="G12" s="5"/>
      <c r="H12" s="5">
        <f>SUM(OSRRefH13x_0)</f>
        <v>6600</v>
      </c>
      <c r="I12" s="5"/>
      <c r="J12" s="13"/>
      <c r="K12" s="5"/>
      <c r="L12" s="5">
        <f>+D12-H12</f>
        <v>3257.34</v>
      </c>
      <c r="M12" s="5"/>
      <c r="N12" s="13">
        <f>IF(H12=0,0,L12/H12)</f>
        <v>0.49353636363636366</v>
      </c>
      <c r="O12" s="11"/>
      <c r="P12" s="5">
        <f>SUM(OSRRefP13x_0)</f>
        <v>444869.55000000005</v>
      </c>
      <c r="Q12" s="5"/>
      <c r="R12" s="13"/>
      <c r="S12" s="5"/>
      <c r="T12" s="5">
        <f>SUM(OSRRefT13x_0)</f>
        <v>1540194</v>
      </c>
      <c r="U12" s="5"/>
      <c r="V12" s="13"/>
      <c r="W12" s="5"/>
      <c r="X12" s="5">
        <f>+P12-T12</f>
        <v>-1095324.45</v>
      </c>
      <c r="Y12" s="5"/>
      <c r="Z12" s="13">
        <f>IF(T12=0,0,X12/T12)</f>
        <v>-0.71116005516188219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--6691.92</f>
        <v>6691.92</v>
      </c>
      <c r="E13" s="3"/>
      <c r="F13" s="20"/>
      <c r="G13" s="3"/>
      <c r="H13" s="3">
        <v>6600</v>
      </c>
      <c r="I13" s="3"/>
      <c r="J13" s="20"/>
      <c r="K13" s="3"/>
      <c r="L13" s="3">
        <f>+D13-H13</f>
        <v>91.920000000000073</v>
      </c>
      <c r="M13" s="3"/>
      <c r="N13" s="20">
        <f>IF(H13=0,0,L13/H13)</f>
        <v>1.3927272727272738E-2</v>
      </c>
      <c r="O13" s="12"/>
      <c r="P13" s="3">
        <f>--278068.09</f>
        <v>278068.09000000003</v>
      </c>
      <c r="Q13" s="3"/>
      <c r="R13" s="20"/>
      <c r="S13" s="3"/>
      <c r="T13" s="3">
        <v>1540194</v>
      </c>
      <c r="U13" s="3"/>
      <c r="V13" s="20"/>
      <c r="W13" s="3"/>
      <c r="X13" s="3">
        <f>+P13-T13</f>
        <v>-1262125.9099999999</v>
      </c>
      <c r="Y13" s="3"/>
      <c r="Z13" s="20">
        <f>IF(T13=0,0,X13/T13)</f>
        <v>-0.81945904866529795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--3165.42</f>
        <v>3165.42</v>
      </c>
      <c r="E14" s="3"/>
      <c r="F14" s="20"/>
      <c r="G14" s="3"/>
      <c r="H14" s="3"/>
      <c r="I14" s="3"/>
      <c r="J14" s="20"/>
      <c r="K14" s="3"/>
      <c r="L14" s="3">
        <f>+D14-H14</f>
        <v>3165.42</v>
      </c>
      <c r="M14" s="3"/>
      <c r="N14" s="20">
        <f>IF(H14=0,0,L14/H14)</f>
        <v>0</v>
      </c>
      <c r="O14" s="12"/>
      <c r="P14" s="3">
        <f>--166801.46</f>
        <v>166801.46</v>
      </c>
      <c r="Q14" s="3"/>
      <c r="R14" s="20"/>
      <c r="S14" s="3"/>
      <c r="T14" s="3"/>
      <c r="U14" s="3"/>
      <c r="V14" s="20"/>
      <c r="W14" s="3"/>
      <c r="X14" s="3">
        <f>+P14-T14</f>
        <v>166801.46</v>
      </c>
      <c r="Y14" s="3"/>
      <c r="Z14" s="20">
        <f>IF(T14=0,0,X14/T14)</f>
        <v>0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25">
      <c r="A16" s="11"/>
      <c r="B16" s="27" t="s">
        <v>288</v>
      </c>
      <c r="C16" s="11"/>
      <c r="D16" s="5">
        <f>SUM(OSRRefD16x_0)</f>
        <v>2594.2600000000002</v>
      </c>
      <c r="E16" s="5"/>
      <c r="F16" s="13">
        <f>IF(D$12=0,0,D16/D$12)</f>
        <v>0.26318053349077947</v>
      </c>
      <c r="G16" s="5"/>
      <c r="H16" s="5">
        <f>SUM(OSRRefH16x_0)</f>
        <v>4785</v>
      </c>
      <c r="I16" s="5"/>
      <c r="J16" s="13">
        <f>IF(H$12=0,0,H16/H$12)</f>
        <v>0.72499999999999998</v>
      </c>
      <c r="K16" s="5"/>
      <c r="L16" s="5">
        <f>+D16-H16</f>
        <v>-2190.7399999999998</v>
      </c>
      <c r="M16" s="5"/>
      <c r="N16" s="13">
        <f>IF(H16=0,0,L16/H16)</f>
        <v>-0.45783490073145239</v>
      </c>
      <c r="O16" s="11"/>
      <c r="P16" s="5">
        <f>SUM(OSRRefP16x_0)</f>
        <v>304997.01</v>
      </c>
      <c r="Q16" s="5"/>
      <c r="R16" s="13">
        <f>IF(P$12=0,0,P16/P$12)</f>
        <v>0.68558751661020623</v>
      </c>
      <c r="S16" s="5"/>
      <c r="T16" s="5">
        <f>SUM(OSRRefT16x_0)</f>
        <v>1116641</v>
      </c>
      <c r="U16" s="5"/>
      <c r="V16" s="13">
        <f>IF(T$12=0,0,T16/T$12)</f>
        <v>0.7250002272441004</v>
      </c>
      <c r="W16" s="5"/>
      <c r="X16" s="5">
        <f>+P16-T16</f>
        <v>-811643.99</v>
      </c>
      <c r="Y16" s="5"/>
      <c r="Z16" s="13">
        <f>IF(T16=0,0,X16/T16)</f>
        <v>-0.72686207115805346</v>
      </c>
    </row>
    <row r="17" spans="1:26" s="70" customFormat="1" ht="15" hidden="1" customHeight="1" outlineLevel="1" x14ac:dyDescent="0.25">
      <c r="A17" s="42"/>
      <c r="B17" s="12" t="str">
        <f>CONCATENATE("          ","5000"," - ","PURCHASES @ COST")</f>
        <v xml:space="preserve">          5000 - PURCHASES @ COST</v>
      </c>
      <c r="C17" s="12"/>
      <c r="D17" s="3">
        <v>2594.2600000000002</v>
      </c>
      <c r="E17" s="3"/>
      <c r="F17" s="20">
        <f>IF(D$12=0,0,D17/D$12)</f>
        <v>0.26318053349077947</v>
      </c>
      <c r="G17" s="3"/>
      <c r="H17" s="3">
        <v>4785</v>
      </c>
      <c r="I17" s="3"/>
      <c r="J17" s="20">
        <f>IF(H$12=0,0,H17/H$12)</f>
        <v>0.72499999999999998</v>
      </c>
      <c r="K17" s="3"/>
      <c r="L17" s="3">
        <f>+D17-H17</f>
        <v>-2190.7399999999998</v>
      </c>
      <c r="M17" s="3"/>
      <c r="N17" s="20">
        <f>IF(H17=0,0,L17/H17)</f>
        <v>-0.45783490073145239</v>
      </c>
      <c r="O17" s="12"/>
      <c r="P17" s="3">
        <v>304997.01</v>
      </c>
      <c r="Q17" s="3"/>
      <c r="R17" s="20">
        <f>IF(P$12=0,0,P17/P$12)</f>
        <v>0.68558751661020623</v>
      </c>
      <c r="S17" s="3"/>
      <c r="T17" s="3">
        <v>1116641</v>
      </c>
      <c r="U17" s="3"/>
      <c r="V17" s="20">
        <f>IF(T$12=0,0,T17/T$12)</f>
        <v>0.7250002272441004</v>
      </c>
      <c r="W17" s="3"/>
      <c r="X17" s="3">
        <f>+P17-T17</f>
        <v>-811643.99</v>
      </c>
      <c r="Y17" s="3"/>
      <c r="Z17" s="20">
        <f>IF(T17=0,0,X17/T17)</f>
        <v>-0.72686207115805346</v>
      </c>
    </row>
    <row r="18" spans="1:26" ht="15" customHeight="1" x14ac:dyDescent="0.25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x14ac:dyDescent="0.25">
      <c r="A19" s="11"/>
      <c r="B19" s="28" t="s">
        <v>289</v>
      </c>
      <c r="C19" s="28"/>
      <c r="D19" s="22">
        <f>D12-D16</f>
        <v>7263.08</v>
      </c>
      <c r="E19" s="15"/>
      <c r="F19" s="21">
        <f>IF(D$12=0,0,D19/D$12)</f>
        <v>0.73681946650922048</v>
      </c>
      <c r="G19" s="15"/>
      <c r="H19" s="22">
        <f>H12-H16</f>
        <v>1815</v>
      </c>
      <c r="I19" s="15"/>
      <c r="J19" s="21">
        <f>IF(H$12=0,0,H19/H$12)</f>
        <v>0.27500000000000002</v>
      </c>
      <c r="K19" s="16"/>
      <c r="L19" s="22">
        <f>+D19-H19</f>
        <v>5448.08</v>
      </c>
      <c r="M19" s="16"/>
      <c r="N19" s="21">
        <f>IF(H19=0,0,L19/H19)</f>
        <v>3.0016969696969698</v>
      </c>
      <c r="O19" s="27"/>
      <c r="P19" s="22">
        <f>P12-P16</f>
        <v>139872.54000000004</v>
      </c>
      <c r="Q19" s="15"/>
      <c r="R19" s="21">
        <f>IF(P$12=0,0,P19/P$12)</f>
        <v>0.31441248338979377</v>
      </c>
      <c r="S19" s="15"/>
      <c r="T19" s="22">
        <f>T12-T16</f>
        <v>423553</v>
      </c>
      <c r="U19" s="15"/>
      <c r="V19" s="21">
        <f>IF(T$12=0,0,T19/T$12)</f>
        <v>0.2749997727558996</v>
      </c>
      <c r="W19" s="16"/>
      <c r="X19" s="22">
        <f>+P19-T19</f>
        <v>-283680.45999999996</v>
      </c>
      <c r="Y19" s="16"/>
      <c r="Z19" s="21">
        <f>IF(T19=0,0,X19/T19)</f>
        <v>-0.66976378398925274</v>
      </c>
    </row>
    <row r="20" spans="1:26" ht="15" customHeight="1" x14ac:dyDescent="0.25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5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3" customFormat="1" ht="15" customHeight="1" x14ac:dyDescent="0.25">
      <c r="A21" s="11"/>
      <c r="B21" s="27" t="s">
        <v>290</v>
      </c>
      <c r="C21" s="11"/>
      <c r="D21" s="23">
        <f>SUM(0)</f>
        <v>0</v>
      </c>
      <c r="E21" s="23"/>
      <c r="F21" s="31">
        <f>IF(D$12=0,0,D21/D$12)</f>
        <v>0</v>
      </c>
      <c r="G21" s="23"/>
      <c r="H21" s="23">
        <f>SUM(0)</f>
        <v>0</v>
      </c>
      <c r="I21" s="23"/>
      <c r="J21" s="31">
        <f>IF(H$12=0,0,H21/H$12)</f>
        <v>0</v>
      </c>
      <c r="K21" s="5"/>
      <c r="L21" s="23">
        <f>+D21-H21</f>
        <v>0</v>
      </c>
      <c r="M21" s="5"/>
      <c r="N21" s="31">
        <f>IF(H21=0,0,L21/H21)</f>
        <v>0</v>
      </c>
      <c r="O21" s="11"/>
      <c r="P21" s="23">
        <f>SUM(0)</f>
        <v>0</v>
      </c>
      <c r="Q21" s="23"/>
      <c r="R21" s="31">
        <f>IF(P$12=0,0,P21/P$12)</f>
        <v>0</v>
      </c>
      <c r="S21" s="23"/>
      <c r="T21" s="23">
        <f>SUM(0)</f>
        <v>0</v>
      </c>
      <c r="U21" s="23"/>
      <c r="V21" s="31">
        <f>IF(T$12=0,0,T21/T$12)</f>
        <v>0</v>
      </c>
      <c r="W21" s="5"/>
      <c r="X21" s="23">
        <f>+P21-T21</f>
        <v>0</v>
      </c>
      <c r="Y21" s="5"/>
      <c r="Z21" s="31">
        <f>IF(T21=0,0,X21/T21)</f>
        <v>0</v>
      </c>
    </row>
    <row r="22" spans="1:26" s="65" customFormat="1" ht="15" customHeight="1" x14ac:dyDescent="0.25">
      <c r="A22" s="35"/>
      <c r="B22" s="35"/>
      <c r="C22" s="35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25">
      <c r="A23" s="11"/>
      <c r="B23" s="27" t="s">
        <v>291</v>
      </c>
      <c r="C23" s="11"/>
      <c r="D23" s="5">
        <f>SUM(0)</f>
        <v>0</v>
      </c>
      <c r="E23" s="5"/>
      <c r="F23" s="13">
        <f>IF(D$12=0,0,D23/D$12)</f>
        <v>0</v>
      </c>
      <c r="G23" s="5"/>
      <c r="H23" s="5">
        <f>SUM(0)</f>
        <v>0</v>
      </c>
      <c r="I23" s="5"/>
      <c r="J23" s="13">
        <f>IF(H$12=0,0,H23/H$12)</f>
        <v>0</v>
      </c>
      <c r="K23" s="5"/>
      <c r="L23" s="5">
        <f>+D23-H23</f>
        <v>0</v>
      </c>
      <c r="M23" s="5"/>
      <c r="N23" s="13">
        <f>IF(H23=0,0,L23/H23)</f>
        <v>0</v>
      </c>
      <c r="O23" s="11"/>
      <c r="P23" s="5">
        <f>SUM(0)</f>
        <v>0</v>
      </c>
      <c r="Q23" s="5"/>
      <c r="R23" s="13">
        <f>IF(P$12=0,0,P23/P$12)</f>
        <v>0</v>
      </c>
      <c r="S23" s="5"/>
      <c r="T23" s="5">
        <f>SUM(0)</f>
        <v>0</v>
      </c>
      <c r="U23" s="5"/>
      <c r="V23" s="13">
        <f>IF(T$12=0,0,T23/T$12)</f>
        <v>0</v>
      </c>
      <c r="W23" s="5"/>
      <c r="X23" s="5">
        <f>+P23-T23</f>
        <v>0</v>
      </c>
      <c r="Y23" s="5"/>
      <c r="Z23" s="13">
        <f>IF(T23=0,0,X23/T23)</f>
        <v>0</v>
      </c>
    </row>
    <row r="24" spans="1:26" ht="15" customHeight="1" x14ac:dyDescent="0.25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25">
      <c r="A25" s="11"/>
      <c r="B25" s="28" t="s">
        <v>292</v>
      </c>
      <c r="C25" s="28"/>
      <c r="D25" s="22">
        <f>+D19-D21+D23</f>
        <v>7263.08</v>
      </c>
      <c r="E25" s="15"/>
      <c r="F25" s="21">
        <f>IF(D$12=0,0,D25/D$12)</f>
        <v>0.73681946650922048</v>
      </c>
      <c r="G25" s="15"/>
      <c r="H25" s="22">
        <f>+H19-H21+H23</f>
        <v>1815</v>
      </c>
      <c r="I25" s="15"/>
      <c r="J25" s="21">
        <f>IF(H$12=0,0,H25/H$12)</f>
        <v>0.27500000000000002</v>
      </c>
      <c r="K25" s="16"/>
      <c r="L25" s="22">
        <f>+D25-H25</f>
        <v>5448.08</v>
      </c>
      <c r="M25" s="16"/>
      <c r="N25" s="21">
        <f>IF(H25=0,0,L25/H25)</f>
        <v>3.0016969696969698</v>
      </c>
      <c r="O25" s="27"/>
      <c r="P25" s="22">
        <f>+P19-P21+P23</f>
        <v>139872.54000000004</v>
      </c>
      <c r="Q25" s="15"/>
      <c r="R25" s="21">
        <f>IF(P$12=0,0,P25/P$12)</f>
        <v>0.31441248338979377</v>
      </c>
      <c r="S25" s="15"/>
      <c r="T25" s="22">
        <f>+T19-T21+T23</f>
        <v>423553</v>
      </c>
      <c r="U25" s="15"/>
      <c r="V25" s="21">
        <f>IF(T$12=0,0,T25/T$12)</f>
        <v>0.2749997727558996</v>
      </c>
      <c r="W25" s="16"/>
      <c r="X25" s="22">
        <f>+P25-T25</f>
        <v>-283680.45999999996</v>
      </c>
      <c r="Y25" s="16"/>
      <c r="Z25" s="21">
        <f>IF(T25=0,0,X25/T25)</f>
        <v>-0.66976378398925274</v>
      </c>
    </row>
    <row r="26" spans="1:26" ht="15" customHeight="1" x14ac:dyDescent="0.25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49"/>
      <c r="B27" s="11" t="s">
        <v>293</v>
      </c>
      <c r="C27" s="11"/>
      <c r="D27" s="5">
        <v>734.75</v>
      </c>
      <c r="E27" s="5"/>
      <c r="F27" s="13">
        <f>IF(D$12=0,0,D27/D$12)</f>
        <v>7.4538364305177657E-2</v>
      </c>
      <c r="G27" s="5"/>
      <c r="H27" s="5">
        <v>2272</v>
      </c>
      <c r="I27" s="5"/>
      <c r="J27" s="13">
        <f>IF(H$12=0,0,H27/H$12)</f>
        <v>0.34424242424242424</v>
      </c>
      <c r="K27" s="5"/>
      <c r="L27" s="5">
        <f>+D27-H27</f>
        <v>-1537.25</v>
      </c>
      <c r="M27" s="5"/>
      <c r="N27" s="13">
        <f>IF(H27=0,0,L27/H27)</f>
        <v>-0.676606514084507</v>
      </c>
      <c r="O27" s="11"/>
      <c r="P27" s="5">
        <v>50014.62</v>
      </c>
      <c r="Q27" s="5"/>
      <c r="R27" s="13">
        <f>IF(P$12=0,0,P27/P$12)</f>
        <v>0.11242536154699731</v>
      </c>
      <c r="S27" s="5"/>
      <c r="T27" s="5">
        <v>190926</v>
      </c>
      <c r="U27" s="5"/>
      <c r="V27" s="13">
        <f>IF(T$12=0,0,T27/T$12)</f>
        <v>0.1239623060471603</v>
      </c>
      <c r="W27" s="5"/>
      <c r="X27" s="5">
        <f>+P27-T27</f>
        <v>-140911.38</v>
      </c>
      <c r="Y27" s="5"/>
      <c r="Z27" s="13">
        <f>IF(T27=0,0,X27/T27)</f>
        <v>-0.73804185914961817</v>
      </c>
    </row>
    <row r="28" spans="1:26" ht="15" customHeight="1" x14ac:dyDescent="0.25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11"/>
      <c r="B29" s="28" t="s">
        <v>294</v>
      </c>
      <c r="C29" s="28"/>
      <c r="D29" s="34">
        <f>+D25-D27</f>
        <v>6528.33</v>
      </c>
      <c r="E29" s="15"/>
      <c r="F29" s="32">
        <f>IF(D$12=0,0,D29/D$12)</f>
        <v>0.6622811022040429</v>
      </c>
      <c r="G29" s="15"/>
      <c r="H29" s="34">
        <f>+H25-H27</f>
        <v>-457</v>
      </c>
      <c r="I29" s="15"/>
      <c r="J29" s="32">
        <f>IF(H$12=0,0,H29/H$12)</f>
        <v>-6.9242424242424244E-2</v>
      </c>
      <c r="K29" s="16"/>
      <c r="L29" s="34">
        <f>D29-H29</f>
        <v>6985.33</v>
      </c>
      <c r="M29" s="16"/>
      <c r="N29" s="32">
        <f>IF(H29=0,0,L29/H29)</f>
        <v>-15.285185995623632</v>
      </c>
      <c r="O29" s="27"/>
      <c r="P29" s="34">
        <f>+P25-P27</f>
        <v>89857.920000000042</v>
      </c>
      <c r="Q29" s="15"/>
      <c r="R29" s="32">
        <f>IF(P$12=0,0,P29/P$12)</f>
        <v>0.20198712184279646</v>
      </c>
      <c r="S29" s="15"/>
      <c r="T29" s="34">
        <f>+T25-T27</f>
        <v>232627</v>
      </c>
      <c r="U29" s="15"/>
      <c r="V29" s="32">
        <f>IF(T$12=0,0,T29/T$12)</f>
        <v>0.1510374667087393</v>
      </c>
      <c r="W29" s="16"/>
      <c r="X29" s="34">
        <f>P29-T29</f>
        <v>-142769.07999999996</v>
      </c>
      <c r="Y29" s="16"/>
      <c r="Z29" s="32">
        <f>IF(T29=0,0,X29/T29)</f>
        <v>-0.61372531993276769</v>
      </c>
    </row>
    <row r="30" spans="1:26" ht="15" customHeight="1" x14ac:dyDescent="0.25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ht="15" customHeight="1" x14ac:dyDescent="0.25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25">
      <c r="A32" s="11"/>
      <c r="B32" s="28" t="s">
        <v>297</v>
      </c>
      <c r="C32" s="28"/>
      <c r="D32" s="30">
        <f>SUM(D29:D31)</f>
        <v>6528.33</v>
      </c>
      <c r="E32" s="15"/>
      <c r="F32" s="33">
        <f>IF(D$12=0,0,D32/D$12)</f>
        <v>0.6622811022040429</v>
      </c>
      <c r="G32" s="15"/>
      <c r="H32" s="30">
        <f>SUM(H29:H31)</f>
        <v>-457</v>
      </c>
      <c r="I32" s="15"/>
      <c r="J32" s="33">
        <f>IF(H$12=0,0,H32/H$12)</f>
        <v>-6.9242424242424244E-2</v>
      </c>
      <c r="K32" s="16"/>
      <c r="L32" s="30">
        <f>+D32-H32</f>
        <v>6985.33</v>
      </c>
      <c r="M32" s="16"/>
      <c r="N32" s="33">
        <f>IF(H32=0,0,L32/H32)</f>
        <v>-15.285185995623632</v>
      </c>
      <c r="O32" s="27"/>
      <c r="P32" s="30">
        <f>SUM(P29:P31)</f>
        <v>89857.920000000042</v>
      </c>
      <c r="Q32" s="15"/>
      <c r="R32" s="33">
        <f>IF(P$12=0,0,P32/P$12)</f>
        <v>0.20198712184279646</v>
      </c>
      <c r="S32" s="15"/>
      <c r="T32" s="30">
        <f>SUM(T29:T31)</f>
        <v>232627</v>
      </c>
      <c r="U32" s="15"/>
      <c r="V32" s="33">
        <f>IF(T$12=0,0,T32/T$12)</f>
        <v>0.1510374667087393</v>
      </c>
      <c r="W32" s="16"/>
      <c r="X32" s="30">
        <f>+P32-T32</f>
        <v>-142769.07999999996</v>
      </c>
      <c r="Y32" s="16"/>
      <c r="Z32" s="33">
        <f>IF(T32=0,0,X32/T32)</f>
        <v>-0.61372531993276769</v>
      </c>
    </row>
    <row r="33" spans="1:24" ht="15" customHeight="1" x14ac:dyDescent="0.25">
      <c r="A33" s="10"/>
      <c r="C33" s="10"/>
      <c r="D33" s="18"/>
      <c r="E33" s="18"/>
      <c r="G33" s="18"/>
      <c r="H33" s="18"/>
      <c r="I33" s="18"/>
      <c r="J33" s="40"/>
      <c r="K33" s="18"/>
      <c r="L33" s="18"/>
      <c r="M33" s="18"/>
      <c r="P33" s="18"/>
      <c r="Q33" s="18"/>
      <c r="R33" s="40"/>
      <c r="S33" s="18"/>
      <c r="T33" s="18"/>
      <c r="U33" s="18"/>
      <c r="V33" s="40"/>
      <c r="W33" s="18"/>
      <c r="X33" s="18"/>
    </row>
    <row r="34" spans="1:24" ht="15" customHeight="1" x14ac:dyDescent="0.25">
      <c r="A34" s="10"/>
      <c r="B34" s="54">
        <v>44727.874527581022</v>
      </c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4" ht="15" customHeight="1" x14ac:dyDescent="0.25">
      <c r="A35" s="10"/>
      <c r="B35" s="50" t="s">
        <v>298</v>
      </c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4" ht="15" customHeight="1" x14ac:dyDescent="0.25">
      <c r="A36" s="10"/>
      <c r="B36" s="58"/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  <row r="37" spans="1:24" ht="15" customHeight="1" x14ac:dyDescent="0.25"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F227-4342-2E17-E8A8-3E3F018AA89B}">
  <sheetPr>
    <tabColor rgb="FFFFFF00"/>
    <outlinePr summaryBelow="0" summaryRight="0"/>
  </sheetPr>
  <dimension ref="A2:Z14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309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796040.28999999992</v>
      </c>
      <c r="E12" s="5"/>
      <c r="F12" s="13"/>
      <c r="G12" s="5"/>
      <c r="H12" s="5">
        <f>SUM(OSRRefH13x_0)</f>
        <v>277652</v>
      </c>
      <c r="I12" s="5"/>
      <c r="J12" s="13"/>
      <c r="K12" s="5"/>
      <c r="L12" s="5">
        <f t="shared" ref="L12:L17" si="0">+D12-H12</f>
        <v>518388.28999999992</v>
      </c>
      <c r="M12" s="5"/>
      <c r="N12" s="13">
        <f t="shared" ref="N12:N17" si="1">IF(H12=0,0,L12/H12)</f>
        <v>1.8670432411796059</v>
      </c>
      <c r="O12" s="11"/>
      <c r="P12" s="5">
        <f>SUM(OSRRefP13x_0)</f>
        <v>5060481.209999999</v>
      </c>
      <c r="Q12" s="5"/>
      <c r="R12" s="13"/>
      <c r="S12" s="5"/>
      <c r="T12" s="5">
        <f>SUM(OSRRefT13x_0)</f>
        <v>3440263</v>
      </c>
      <c r="U12" s="5"/>
      <c r="V12" s="13"/>
      <c r="W12" s="5"/>
      <c r="X12" s="5">
        <f t="shared" ref="X12:X17" si="2">+P12-T12</f>
        <v>1620218.209999999</v>
      </c>
      <c r="Y12" s="5"/>
      <c r="Z12" s="13">
        <f t="shared" ref="Z12:Z17" si="3">IF(T12=0,0,X12/T12)</f>
        <v>0.47095765934174189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--795788</f>
        <v>795788</v>
      </c>
      <c r="E13" s="3"/>
      <c r="F13" s="20"/>
      <c r="G13" s="3"/>
      <c r="H13" s="3">
        <v>270491</v>
      </c>
      <c r="I13" s="3"/>
      <c r="J13" s="20"/>
      <c r="K13" s="3"/>
      <c r="L13" s="3">
        <f t="shared" si="0"/>
        <v>525297</v>
      </c>
      <c r="M13" s="3"/>
      <c r="N13" s="20">
        <f t="shared" si="1"/>
        <v>1.9420128580987908</v>
      </c>
      <c r="O13" s="12"/>
      <c r="P13" s="3">
        <f>--4701174.77</f>
        <v>4701174.7699999996</v>
      </c>
      <c r="Q13" s="3"/>
      <c r="R13" s="20"/>
      <c r="S13" s="3"/>
      <c r="T13" s="3">
        <v>3271163</v>
      </c>
      <c r="U13" s="3"/>
      <c r="V13" s="20"/>
      <c r="W13" s="3"/>
      <c r="X13" s="3">
        <f t="shared" si="2"/>
        <v>1430011.7699999996</v>
      </c>
      <c r="Y13" s="3"/>
      <c r="Z13" s="20">
        <f t="shared" si="3"/>
        <v>0.43715698973117501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--60093.82</f>
        <v>60093.82</v>
      </c>
      <c r="E14" s="3"/>
      <c r="F14" s="20"/>
      <c r="G14" s="3"/>
      <c r="H14" s="3">
        <v>7161</v>
      </c>
      <c r="I14" s="3"/>
      <c r="J14" s="20"/>
      <c r="K14" s="3"/>
      <c r="L14" s="3">
        <f t="shared" si="0"/>
        <v>52932.82</v>
      </c>
      <c r="M14" s="3"/>
      <c r="N14" s="20">
        <f t="shared" si="1"/>
        <v>7.3918195782711908</v>
      </c>
      <c r="O14" s="12"/>
      <c r="P14" s="3">
        <f>--639143.23</f>
        <v>639143.23</v>
      </c>
      <c r="Q14" s="3"/>
      <c r="R14" s="20"/>
      <c r="S14" s="3"/>
      <c r="T14" s="3">
        <v>169100</v>
      </c>
      <c r="U14" s="3"/>
      <c r="V14" s="20"/>
      <c r="W14" s="3"/>
      <c r="X14" s="3">
        <f t="shared" si="2"/>
        <v>470043.23</v>
      </c>
      <c r="Y14" s="3"/>
      <c r="Z14" s="20">
        <f t="shared" si="3"/>
        <v>2.779676108811354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-38449.1</f>
        <v>-38449.1</v>
      </c>
      <c r="E15" s="3"/>
      <c r="F15" s="20"/>
      <c r="G15" s="3"/>
      <c r="H15" s="3"/>
      <c r="I15" s="3"/>
      <c r="J15" s="20"/>
      <c r="K15" s="3"/>
      <c r="L15" s="3">
        <f t="shared" si="0"/>
        <v>-38449.1</v>
      </c>
      <c r="M15" s="3"/>
      <c r="N15" s="20">
        <f t="shared" si="1"/>
        <v>0</v>
      </c>
      <c r="O15" s="12"/>
      <c r="P15" s="3">
        <f>-156176.87</f>
        <v>-156176.87</v>
      </c>
      <c r="Q15" s="3"/>
      <c r="R15" s="20"/>
      <c r="S15" s="3"/>
      <c r="T15" s="3"/>
      <c r="U15" s="3"/>
      <c r="V15" s="20"/>
      <c r="W15" s="3"/>
      <c r="X15" s="3">
        <f t="shared" si="2"/>
        <v>-156176.87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-346.55</f>
        <v>-346.55</v>
      </c>
      <c r="E16" s="3"/>
      <c r="F16" s="20"/>
      <c r="G16" s="3"/>
      <c r="H16" s="3"/>
      <c r="I16" s="3"/>
      <c r="J16" s="20"/>
      <c r="K16" s="3"/>
      <c r="L16" s="3">
        <f t="shared" si="0"/>
        <v>-346.55</v>
      </c>
      <c r="M16" s="3"/>
      <c r="N16" s="20">
        <f t="shared" si="1"/>
        <v>0</v>
      </c>
      <c r="O16" s="12"/>
      <c r="P16" s="3">
        <f>-3496.69</f>
        <v>-3496.69</v>
      </c>
      <c r="Q16" s="3"/>
      <c r="R16" s="20"/>
      <c r="S16" s="3"/>
      <c r="T16" s="3"/>
      <c r="U16" s="3"/>
      <c r="V16" s="20"/>
      <c r="W16" s="3"/>
      <c r="X16" s="3">
        <f t="shared" si="2"/>
        <v>-3496.69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-21045.88</f>
        <v>-21045.88</v>
      </c>
      <c r="E17" s="3"/>
      <c r="F17" s="20"/>
      <c r="G17" s="3"/>
      <c r="H17" s="3"/>
      <c r="I17" s="3"/>
      <c r="J17" s="20"/>
      <c r="K17" s="3"/>
      <c r="L17" s="3">
        <f t="shared" si="0"/>
        <v>-21045.88</v>
      </c>
      <c r="M17" s="3"/>
      <c r="N17" s="20">
        <f t="shared" si="1"/>
        <v>0</v>
      </c>
      <c r="O17" s="12"/>
      <c r="P17" s="3">
        <f>-120163.23</f>
        <v>-120163.23</v>
      </c>
      <c r="Q17" s="3"/>
      <c r="R17" s="20"/>
      <c r="S17" s="3"/>
      <c r="T17" s="3"/>
      <c r="U17" s="3"/>
      <c r="V17" s="20"/>
      <c r="W17" s="3"/>
      <c r="X17" s="3">
        <f t="shared" si="2"/>
        <v>-120163.23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349809.96</v>
      </c>
      <c r="E19" s="5"/>
      <c r="F19" s="13">
        <f t="shared" ref="F19:F40" si="4">IF(D$12=0,0,D19/D$12)</f>
        <v>0.43943750636038792</v>
      </c>
      <c r="G19" s="5"/>
      <c r="H19" s="5">
        <f>SUM(OSRRefH16x_0)</f>
        <v>138544</v>
      </c>
      <c r="I19" s="5"/>
      <c r="J19" s="13">
        <f t="shared" ref="J19:J40" si="5">IF(H$12=0,0,H19/H$12)</f>
        <v>0.49898434010920145</v>
      </c>
      <c r="K19" s="5"/>
      <c r="L19" s="5">
        <f t="shared" ref="L19:L40" si="6">+D19-H19</f>
        <v>211265.96000000002</v>
      </c>
      <c r="M19" s="5"/>
      <c r="N19" s="13">
        <f t="shared" ref="N19:N40" si="7">IF(H19=0,0,L19/H19)</f>
        <v>1.5249015475228087</v>
      </c>
      <c r="O19" s="11"/>
      <c r="P19" s="5">
        <f>SUM(OSRRefP16x_0)</f>
        <v>2368338.34</v>
      </c>
      <c r="Q19" s="5"/>
      <c r="R19" s="13">
        <f t="shared" ref="R19:R40" si="8">IF(P$12=0,0,P19/P$12)</f>
        <v>0.46800654754333143</v>
      </c>
      <c r="S19" s="5"/>
      <c r="T19" s="5">
        <f>SUM(OSRRefT16x_0)</f>
        <v>1764893</v>
      </c>
      <c r="U19" s="5"/>
      <c r="V19" s="13">
        <f t="shared" ref="V19:V40" si="9">IF(T$12=0,0,T19/T$12)</f>
        <v>0.51301106921185968</v>
      </c>
      <c r="W19" s="5"/>
      <c r="X19" s="5">
        <f t="shared" ref="X19:X40" si="10">+P19-T19</f>
        <v>603445.33999999985</v>
      </c>
      <c r="Y19" s="5"/>
      <c r="Z19" s="13">
        <f t="shared" ref="Z19:Z40" si="11">IF(T19=0,0,X19/T19)</f>
        <v>0.34191610482901785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265515.25</v>
      </c>
      <c r="E20" s="3"/>
      <c r="F20" s="20">
        <f t="shared" si="4"/>
        <v>0.33354498928691162</v>
      </c>
      <c r="G20" s="3"/>
      <c r="H20" s="3">
        <v>138544</v>
      </c>
      <c r="I20" s="3"/>
      <c r="J20" s="20">
        <f t="shared" si="5"/>
        <v>0.49898434010920145</v>
      </c>
      <c r="K20" s="3"/>
      <c r="L20" s="3">
        <f t="shared" si="6"/>
        <v>126971.25</v>
      </c>
      <c r="M20" s="3"/>
      <c r="N20" s="20">
        <f t="shared" si="7"/>
        <v>0.9164687752627324</v>
      </c>
      <c r="O20" s="12"/>
      <c r="P20" s="3">
        <v>2525249.77</v>
      </c>
      <c r="Q20" s="3"/>
      <c r="R20" s="20">
        <f t="shared" si="8"/>
        <v>0.49901376276427289</v>
      </c>
      <c r="S20" s="3"/>
      <c r="T20" s="3">
        <v>1764893</v>
      </c>
      <c r="U20" s="3"/>
      <c r="V20" s="20">
        <f t="shared" si="9"/>
        <v>0.51301106921185968</v>
      </c>
      <c r="W20" s="3"/>
      <c r="X20" s="3">
        <f t="shared" si="10"/>
        <v>760356.77</v>
      </c>
      <c r="Y20" s="3"/>
      <c r="Z20" s="20">
        <f t="shared" si="11"/>
        <v>0.43082315471816141</v>
      </c>
    </row>
    <row r="21" spans="1:26" s="70" customFormat="1" ht="15" hidden="1" customHeight="1" outlineLevel="1" x14ac:dyDescent="0.25">
      <c r="A21" s="42"/>
      <c r="B21" s="12" t="str">
        <f>CONCATENATE("          ","5026"," - ","PURCHASES @ COST-WRITING INSTR")</f>
        <v xml:space="preserve">          5026 - PURCHASES @ COST-WRITING INSTR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","5027"," - ","PURCHASES @ COST-SCHOOL SUPPLI")</f>
        <v xml:space="preserve">          5027 - PURCHASES @ COST-SCHOOL SUPPLI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","5028"," - ","PURCHASES @ COST-ART/TECH")</f>
        <v xml:space="preserve">          5028 - PURCHASES @ COST-ART/TECH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","5031"," - ","PURCHASES @ COST-FOOD")</f>
        <v xml:space="preserve">          5031 - PURCHASES @ COST-FOOD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","5040"," - ","PURCHASES @ COST-LOGO CLOTHING")</f>
        <v xml:space="preserve">          5040 - PURCHASES @ COST-LOGO CLOTHING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","5041"," - ","PURCHASES @ COST-LOGO GIFTS")</f>
        <v xml:space="preserve">          5041 - PURCHASES @ COST-LOGO GIFTS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","5042"," - ","PURCHASES @ COST-EVERYDAY GIFT")</f>
        <v xml:space="preserve">          5042 - PURCHASES @ COST-EVERYDAY GIFT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","5043"," - ","PURCHASES @ COST-CARDS")</f>
        <v xml:space="preserve">          5043 - PURCHASES @ COST-CARDS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","5044"," - ","PURCHASES @ COST-ACCESSORIES")</f>
        <v xml:space="preserve">          5044 - PURCHASES @ COST-ACCESSORIES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","5045"," - ","PURCHASES @ COST-SPECIAL ORDER")</f>
        <v xml:space="preserve">          5045 - PURCHASES @ COST-SPECIAL ORDER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","5200"," - ","PURCHASES OFFSET")</f>
        <v xml:space="preserve">          5200 - PURCHASES OFFSET</v>
      </c>
      <c r="C31" s="12"/>
      <c r="D31" s="3">
        <v>-275767.31</v>
      </c>
      <c r="E31" s="3"/>
      <c r="F31" s="20">
        <f t="shared" si="4"/>
        <v>-0.34642380977977888</v>
      </c>
      <c r="G31" s="3"/>
      <c r="H31" s="3"/>
      <c r="I31" s="3"/>
      <c r="J31" s="20">
        <f t="shared" si="5"/>
        <v>0</v>
      </c>
      <c r="K31" s="3"/>
      <c r="L31" s="3">
        <f t="shared" si="6"/>
        <v>-275767.31</v>
      </c>
      <c r="M31" s="3"/>
      <c r="N31" s="20">
        <f t="shared" si="7"/>
        <v>0</v>
      </c>
      <c r="O31" s="12"/>
      <c r="P31" s="3">
        <v>-2642709.14</v>
      </c>
      <c r="Q31" s="3"/>
      <c r="R31" s="20">
        <f t="shared" si="8"/>
        <v>-0.52222486959891323</v>
      </c>
      <c r="S31" s="3"/>
      <c r="T31" s="3"/>
      <c r="U31" s="3"/>
      <c r="V31" s="20">
        <f t="shared" si="9"/>
        <v>0</v>
      </c>
      <c r="W31" s="3"/>
      <c r="X31" s="3">
        <f t="shared" si="10"/>
        <v>-2642709.14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","5300"," - ","COG$ OFFSET")</f>
        <v xml:space="preserve">          5300 - COG$ OFFSET</v>
      </c>
      <c r="C32" s="12"/>
      <c r="D32" s="3">
        <v>349809.96</v>
      </c>
      <c r="E32" s="3"/>
      <c r="F32" s="20">
        <f t="shared" si="4"/>
        <v>0.43943750636038792</v>
      </c>
      <c r="G32" s="3"/>
      <c r="H32" s="3"/>
      <c r="I32" s="3"/>
      <c r="J32" s="20">
        <f t="shared" si="5"/>
        <v>0</v>
      </c>
      <c r="K32" s="3"/>
      <c r="L32" s="3">
        <f t="shared" si="6"/>
        <v>349809.96</v>
      </c>
      <c r="M32" s="3"/>
      <c r="N32" s="20">
        <f t="shared" si="7"/>
        <v>0</v>
      </c>
      <c r="O32" s="12"/>
      <c r="P32" s="3">
        <v>2371338.34</v>
      </c>
      <c r="Q32" s="3"/>
      <c r="R32" s="20">
        <f t="shared" si="8"/>
        <v>0.46859937654031925</v>
      </c>
      <c r="S32" s="3"/>
      <c r="T32" s="3"/>
      <c r="U32" s="3"/>
      <c r="V32" s="20">
        <f t="shared" si="9"/>
        <v>0</v>
      </c>
      <c r="W32" s="3"/>
      <c r="X32" s="3">
        <f t="shared" si="10"/>
        <v>2371338.34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","5500"," - ","FREIGHT-IN")</f>
        <v xml:space="preserve">          5500 - FREIGHT-IN</v>
      </c>
      <c r="C33" s="12"/>
      <c r="D33" s="3">
        <v>10252.06</v>
      </c>
      <c r="E33" s="3"/>
      <c r="F33" s="20">
        <f t="shared" si="4"/>
        <v>1.2878820492867265E-2</v>
      </c>
      <c r="G33" s="3"/>
      <c r="H33" s="3"/>
      <c r="I33" s="3"/>
      <c r="J33" s="20">
        <f t="shared" si="5"/>
        <v>0</v>
      </c>
      <c r="K33" s="3"/>
      <c r="L33" s="3">
        <f t="shared" si="6"/>
        <v>10252.06</v>
      </c>
      <c r="M33" s="3"/>
      <c r="N33" s="20">
        <f t="shared" si="7"/>
        <v>0</v>
      </c>
      <c r="O33" s="12"/>
      <c r="P33" s="3">
        <v>114459.37</v>
      </c>
      <c r="Q33" s="3"/>
      <c r="R33" s="20">
        <f t="shared" si="8"/>
        <v>2.2618277837652523E-2</v>
      </c>
      <c r="S33" s="3"/>
      <c r="T33" s="3"/>
      <c r="U33" s="3"/>
      <c r="V33" s="20">
        <f t="shared" si="9"/>
        <v>0</v>
      </c>
      <c r="W33" s="3"/>
      <c r="X33" s="3">
        <f t="shared" si="10"/>
        <v>114459.37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","5527"," - ","FREIGHT-IN-SCHOOL SUPPLIES")</f>
        <v xml:space="preserve">          5527 - FREIGHT-IN-SCHOOL SUPPLIES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","5528"," - ","FREIGHT-IN-ART/TECH")</f>
        <v xml:space="preserve">          5528 - FREIGHT-IN-ART/TECH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","5540"," - ","FREIGHT-IN-LOGO CLOTHING")</f>
        <v xml:space="preserve">          5540 - FREIGHT-IN-LOGO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","5541"," - ","FREIGHT-IN-LOGO GIFTS")</f>
        <v xml:space="preserve">          5541 - FREIGHT-IN-LOGO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","5542"," - ","FREIGHT-IN-EVERYDAY GIFTS")</f>
        <v xml:space="preserve">          5542 - FREIGHT-IN-EVERYDAY GIFTS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25">
      <c r="A39" s="42"/>
      <c r="B39" s="12" t="str">
        <f>CONCATENATE("          ","5544"," - ","FREIGHT-IN-ACCESSORIES")</f>
        <v xml:space="preserve">          5544 - FREIGHT-IN-ACCESSORIES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25">
      <c r="A40" s="42"/>
      <c r="B40" s="12" t="str">
        <f>CONCATENATE("          ","5545"," - ","FREIGHT-IN-SPECIAL ORDERS")</f>
        <v xml:space="preserve">          5545 - FREIGHT-IN-SPECIAL ORDERS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ht="15" customHeight="1" x14ac:dyDescent="0.25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3" customFormat="1" ht="15" customHeight="1" x14ac:dyDescent="0.25">
      <c r="A42" s="11"/>
      <c r="B42" s="28" t="s">
        <v>289</v>
      </c>
      <c r="C42" s="28"/>
      <c r="D42" s="22">
        <f>D12-D19</f>
        <v>446230.3299999999</v>
      </c>
      <c r="E42" s="15"/>
      <c r="F42" s="21">
        <f>IF(D$12=0,0,D42/D$12)</f>
        <v>0.56056249363961208</v>
      </c>
      <c r="G42" s="15"/>
      <c r="H42" s="22">
        <f>H12-H19</f>
        <v>139108</v>
      </c>
      <c r="I42" s="15"/>
      <c r="J42" s="21">
        <f>IF(H$12=0,0,H42/H$12)</f>
        <v>0.50101565989079855</v>
      </c>
      <c r="K42" s="16"/>
      <c r="L42" s="22">
        <f>+D42-H42</f>
        <v>307122.3299999999</v>
      </c>
      <c r="M42" s="16"/>
      <c r="N42" s="21">
        <f>IF(H42=0,0,L42/H42)</f>
        <v>2.2077977542628742</v>
      </c>
      <c r="O42" s="27"/>
      <c r="P42" s="22">
        <f>P12-P19</f>
        <v>2692142.8699999992</v>
      </c>
      <c r="Q42" s="15"/>
      <c r="R42" s="21">
        <f>IF(P$12=0,0,P42/P$12)</f>
        <v>0.53199345245666863</v>
      </c>
      <c r="S42" s="15"/>
      <c r="T42" s="22">
        <f>T12-T19</f>
        <v>1675370</v>
      </c>
      <c r="U42" s="15"/>
      <c r="V42" s="21">
        <f>IF(T$12=0,0,T42/T$12)</f>
        <v>0.48698893078814032</v>
      </c>
      <c r="W42" s="16"/>
      <c r="X42" s="22">
        <f>+P42-T42</f>
        <v>1016772.8699999992</v>
      </c>
      <c r="Y42" s="16"/>
      <c r="Z42" s="21">
        <f>IF(T42=0,0,X42/T42)</f>
        <v>0.60689451882270729</v>
      </c>
    </row>
    <row r="43" spans="1:26" ht="15" customHeight="1" x14ac:dyDescent="0.25">
      <c r="A43" s="10"/>
      <c r="B43" s="11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5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3" customFormat="1" ht="15" customHeight="1" x14ac:dyDescent="0.25">
      <c r="A44" s="11"/>
      <c r="B44" s="27" t="s">
        <v>290</v>
      </c>
      <c r="C44" s="11"/>
      <c r="D44" s="23" cm="1">
        <f t="array" ref="D44">SUM(OSRRefD22x_0)</f>
        <v>116897.43</v>
      </c>
      <c r="E44" s="23"/>
      <c r="F44" s="31">
        <f t="shared" ref="F44:F75" si="12">IF(D$12=0,0,D44/D$12)</f>
        <v>0.14684863501067263</v>
      </c>
      <c r="G44" s="23"/>
      <c r="H44" s="23" cm="1">
        <f t="array" ref="H44">SUM(OSRRefH22x_0)</f>
        <v>112030.95143389232</v>
      </c>
      <c r="I44" s="23"/>
      <c r="J44" s="31">
        <f t="shared" ref="J44:J75" si="13">IF(H$12=0,0,H44/H$12)</f>
        <v>0.40349412730285505</v>
      </c>
      <c r="K44" s="5"/>
      <c r="L44" s="23">
        <f t="shared" ref="L44:L75" si="14">+D44-H44</f>
        <v>4866.4785661076749</v>
      </c>
      <c r="M44" s="5"/>
      <c r="N44" s="31">
        <f t="shared" ref="N44:N75" si="15">IF(H44=0,0,L44/H44)</f>
        <v>4.3438697108444238E-2</v>
      </c>
      <c r="O44" s="11"/>
      <c r="P44" s="23" cm="1">
        <f t="array" ref="P44">SUM(OSRRefP22x_0)</f>
        <v>1216744.6500000004</v>
      </c>
      <c r="Q44" s="23"/>
      <c r="R44" s="31">
        <f t="shared" ref="R44:R75" si="16">IF(P$12=0,0,P44/P$12)</f>
        <v>0.24044050348326471</v>
      </c>
      <c r="S44" s="23"/>
      <c r="T44" s="23" cm="1">
        <f t="array" ref="T44">SUM(OSRRefT22x_0)</f>
        <v>1328202.2553689075</v>
      </c>
      <c r="U44" s="23"/>
      <c r="V44" s="31">
        <f t="shared" ref="V44:V75" si="17">IF(T$12=0,0,T44/T$12)</f>
        <v>0.38607578995236919</v>
      </c>
      <c r="W44" s="5"/>
      <c r="X44" s="23">
        <f t="shared" ref="X44:X75" si="18">+P44-T44</f>
        <v>-111457.6053689071</v>
      </c>
      <c r="Y44" s="5"/>
      <c r="Z44" s="31">
        <f t="shared" ref="Z44:Z75" si="19">IF(T44=0,0,X44/T44)</f>
        <v>-8.3916139216274568E-2</v>
      </c>
    </row>
    <row r="45" spans="1:26" s="69" customFormat="1" ht="15" customHeight="1" outlineLevel="1" collapsed="1" x14ac:dyDescent="0.25">
      <c r="A45" s="26"/>
      <c r="B45" s="14" t="str">
        <f>CONCATENATE("     ","*Benefits                                         ")</f>
        <v xml:space="preserve">     *Benefits                                         </v>
      </c>
      <c r="C45" s="14"/>
      <c r="D45" s="2">
        <f>SUM(OSRRefD22_0x_0)</f>
        <v>14583.099999999999</v>
      </c>
      <c r="E45" s="2"/>
      <c r="F45" s="6">
        <f t="shared" si="12"/>
        <v>1.8319550132318053E-2</v>
      </c>
      <c r="G45" s="2"/>
      <c r="H45" s="2">
        <f>SUM(OSRRefH22_0x_0)</f>
        <v>20909.045741584625</v>
      </c>
      <c r="I45" s="2"/>
      <c r="J45" s="6">
        <f t="shared" si="13"/>
        <v>7.5306663526949646E-2</v>
      </c>
      <c r="K45" s="2"/>
      <c r="L45" s="2">
        <f t="shared" si="14"/>
        <v>-6325.9457415846264</v>
      </c>
      <c r="M45" s="2"/>
      <c r="N45" s="6">
        <f t="shared" si="15"/>
        <v>-0.30254588467437177</v>
      </c>
      <c r="O45" s="14"/>
      <c r="P45" s="2">
        <f>SUM(OSRRefP22_0x_0)</f>
        <v>162223.07999999999</v>
      </c>
      <c r="Q45" s="2"/>
      <c r="R45" s="6">
        <f t="shared" si="16"/>
        <v>3.2056848601558191E-2</v>
      </c>
      <c r="S45" s="2"/>
      <c r="T45" s="2">
        <f>SUM(OSRRefT22_0x_0)</f>
        <v>239162.82406121559</v>
      </c>
      <c r="U45" s="2"/>
      <c r="V45" s="6">
        <f t="shared" si="17"/>
        <v>6.9518761810133584E-2</v>
      </c>
      <c r="W45" s="2"/>
      <c r="X45" s="2">
        <f t="shared" si="18"/>
        <v>-76939.744061215606</v>
      </c>
      <c r="Y45" s="2"/>
      <c r="Z45" s="6">
        <f t="shared" si="19"/>
        <v>-0.32170444701523626</v>
      </c>
    </row>
    <row r="46" spans="1:26" s="70" customFormat="1" ht="15" hidden="1" customHeight="1" outlineLevel="2" x14ac:dyDescent="0.25">
      <c r="A46" s="25"/>
      <c r="B46" s="12" t="str">
        <f>CONCATENATE("          ","6111"," - ","F.I.C.A.")</f>
        <v xml:space="preserve">          6111 - F.I.C.A.</v>
      </c>
      <c r="C46" s="12"/>
      <c r="D46" s="8">
        <v>3763.33</v>
      </c>
      <c r="E46" s="3"/>
      <c r="F46" s="7">
        <f t="shared" si="12"/>
        <v>4.7275622192439531E-3</v>
      </c>
      <c r="G46" s="3"/>
      <c r="H46" s="8">
        <v>5186.07617196923</v>
      </c>
      <c r="I46" s="3"/>
      <c r="J46" s="7">
        <f t="shared" si="13"/>
        <v>1.8678331767713649E-2</v>
      </c>
      <c r="K46" s="3"/>
      <c r="L46" s="8">
        <f t="shared" si="14"/>
        <v>-1422.7461719692301</v>
      </c>
      <c r="M46" s="3"/>
      <c r="N46" s="7">
        <f t="shared" si="15"/>
        <v>-0.2743396210914103</v>
      </c>
      <c r="O46" s="12"/>
      <c r="P46" s="8">
        <v>31233.61</v>
      </c>
      <c r="Q46" s="3"/>
      <c r="R46" s="7">
        <f t="shared" si="16"/>
        <v>6.1720632295362296E-3</v>
      </c>
      <c r="S46" s="3"/>
      <c r="T46" s="8">
        <v>57688.6384283308</v>
      </c>
      <c r="U46" s="3"/>
      <c r="V46" s="7">
        <f t="shared" si="17"/>
        <v>1.6768671008097577E-2</v>
      </c>
      <c r="W46" s="3"/>
      <c r="X46" s="8">
        <f t="shared" si="18"/>
        <v>-26455.028428330799</v>
      </c>
      <c r="Y46" s="3"/>
      <c r="Z46" s="7">
        <f t="shared" si="19"/>
        <v>-0.45858299223333338</v>
      </c>
    </row>
    <row r="47" spans="1:26" s="70" customFormat="1" ht="15" hidden="1" customHeight="1" outlineLevel="2" x14ac:dyDescent="0.25">
      <c r="A47" s="25"/>
      <c r="B47" s="12" t="str">
        <f>CONCATENATE("          ","6112"," - ","COMPENSATION INSURANCE")</f>
        <v xml:space="preserve">          6112 - COMPENSATION INSURANCE</v>
      </c>
      <c r="C47" s="12"/>
      <c r="D47" s="8">
        <v>1805.43</v>
      </c>
      <c r="E47" s="3"/>
      <c r="F47" s="7">
        <f t="shared" si="12"/>
        <v>2.2680133438974554E-3</v>
      </c>
      <c r="G47" s="3"/>
      <c r="H47" s="8">
        <v>1198.0687800000001</v>
      </c>
      <c r="I47" s="3"/>
      <c r="J47" s="7">
        <f t="shared" si="13"/>
        <v>4.3150014406523277E-3</v>
      </c>
      <c r="K47" s="3"/>
      <c r="L47" s="8">
        <f t="shared" si="14"/>
        <v>607.36122</v>
      </c>
      <c r="M47" s="3"/>
      <c r="N47" s="7">
        <f t="shared" si="15"/>
        <v>0.50695021032098009</v>
      </c>
      <c r="O47" s="12"/>
      <c r="P47" s="8">
        <v>12006.8</v>
      </c>
      <c r="Q47" s="3"/>
      <c r="R47" s="7">
        <f t="shared" si="16"/>
        <v>2.3726597336777783E-3</v>
      </c>
      <c r="S47" s="3"/>
      <c r="T47" s="8">
        <v>14077.22229</v>
      </c>
      <c r="U47" s="3"/>
      <c r="V47" s="7">
        <f t="shared" si="17"/>
        <v>4.0919029417227698E-3</v>
      </c>
      <c r="W47" s="3"/>
      <c r="X47" s="8">
        <f t="shared" si="18"/>
        <v>-2070.4222900000004</v>
      </c>
      <c r="Y47" s="3"/>
      <c r="Z47" s="7">
        <f t="shared" si="19"/>
        <v>-0.1470760528851463</v>
      </c>
    </row>
    <row r="48" spans="1:26" s="70" customFormat="1" ht="15" hidden="1" customHeight="1" outlineLevel="2" x14ac:dyDescent="0.25">
      <c r="A48" s="25"/>
      <c r="B48" s="12" t="str">
        <f>CONCATENATE("          ","6113"," - ","GROUP INSURANCE")</f>
        <v xml:space="preserve">          6113 - GROUP INSURANCE</v>
      </c>
      <c r="C48" s="12"/>
      <c r="D48" s="8">
        <v>3865.43</v>
      </c>
      <c r="E48" s="3"/>
      <c r="F48" s="7">
        <f t="shared" si="12"/>
        <v>4.8558220589563382E-3</v>
      </c>
      <c r="G48" s="3"/>
      <c r="H48" s="8">
        <v>7772.9230769230799</v>
      </c>
      <c r="I48" s="3"/>
      <c r="J48" s="7">
        <f t="shared" si="13"/>
        <v>2.7995199303167562E-2</v>
      </c>
      <c r="K48" s="3"/>
      <c r="L48" s="8">
        <f t="shared" si="14"/>
        <v>-3907.49307692308</v>
      </c>
      <c r="M48" s="3"/>
      <c r="N48" s="7">
        <f t="shared" si="15"/>
        <v>-0.50270574380492461</v>
      </c>
      <c r="O48" s="12"/>
      <c r="P48" s="8">
        <v>49857.04</v>
      </c>
      <c r="Q48" s="3"/>
      <c r="R48" s="7">
        <f t="shared" si="16"/>
        <v>9.8522330053271781E-3</v>
      </c>
      <c r="S48" s="3"/>
      <c r="T48" s="8">
        <v>87939.076923076995</v>
      </c>
      <c r="U48" s="3"/>
      <c r="V48" s="7">
        <f t="shared" si="17"/>
        <v>2.5561730868563535E-2</v>
      </c>
      <c r="W48" s="3"/>
      <c r="X48" s="8">
        <f t="shared" si="18"/>
        <v>-38082.036923076994</v>
      </c>
      <c r="Y48" s="3"/>
      <c r="Z48" s="7">
        <f t="shared" si="19"/>
        <v>-0.43305022358136097</v>
      </c>
    </row>
    <row r="49" spans="1:26" s="70" customFormat="1" ht="15" hidden="1" customHeight="1" outlineLevel="2" x14ac:dyDescent="0.25">
      <c r="A49" s="25"/>
      <c r="B49" s="12" t="str">
        <f>CONCATENATE("          ","6114"," - ","STATE UNEMPLOYMENT INSURANCE")</f>
        <v xml:space="preserve">          6114 - STATE UNEMPLOYMENT INSURANCE</v>
      </c>
      <c r="C49" s="12"/>
      <c r="D49" s="8">
        <v>317.17</v>
      </c>
      <c r="E49" s="3"/>
      <c r="F49" s="7">
        <f t="shared" si="12"/>
        <v>3.9843460687146885E-4</v>
      </c>
      <c r="G49" s="3"/>
      <c r="H49" s="8">
        <v>161.27848961538501</v>
      </c>
      <c r="I49" s="3"/>
      <c r="J49" s="7">
        <f t="shared" si="13"/>
        <v>5.8086557854935324E-4</v>
      </c>
      <c r="K49" s="3"/>
      <c r="L49" s="8">
        <f t="shared" si="14"/>
        <v>155.891510384615</v>
      </c>
      <c r="M49" s="3"/>
      <c r="N49" s="7">
        <f t="shared" si="15"/>
        <v>0.96659827827246636</v>
      </c>
      <c r="O49" s="12"/>
      <c r="P49" s="8">
        <v>2110.4499999999998</v>
      </c>
      <c r="Q49" s="3"/>
      <c r="R49" s="7">
        <f t="shared" si="16"/>
        <v>4.1704531889764695E-4</v>
      </c>
      <c r="S49" s="3"/>
      <c r="T49" s="8">
        <v>1895.0106928846201</v>
      </c>
      <c r="U49" s="3"/>
      <c r="V49" s="7">
        <f t="shared" si="17"/>
        <v>5.5083308830883575E-4</v>
      </c>
      <c r="W49" s="3"/>
      <c r="X49" s="8">
        <f t="shared" si="18"/>
        <v>215.43930711537973</v>
      </c>
      <c r="Y49" s="3"/>
      <c r="Z49" s="7">
        <f t="shared" si="19"/>
        <v>0.11368764721186563</v>
      </c>
    </row>
    <row r="50" spans="1:26" s="70" customFormat="1" ht="15" hidden="1" customHeight="1" outlineLevel="2" x14ac:dyDescent="0.25">
      <c r="A50" s="25"/>
      <c r="B50" s="12" t="str">
        <f>CONCATENATE("          ","6115"," - ","P.E.R.S.")</f>
        <v xml:space="preserve">          6115 - P.E.R.S.</v>
      </c>
      <c r="C50" s="12"/>
      <c r="D50" s="8">
        <v>1088.73</v>
      </c>
      <c r="E50" s="3"/>
      <c r="F50" s="7">
        <f t="shared" si="12"/>
        <v>1.3676820302650763E-3</v>
      </c>
      <c r="G50" s="3"/>
      <c r="H50" s="8">
        <v>1413.3438461538501</v>
      </c>
      <c r="I50" s="3"/>
      <c r="J50" s="7">
        <f t="shared" si="13"/>
        <v>5.0903427533525785E-3</v>
      </c>
      <c r="K50" s="3"/>
      <c r="L50" s="8">
        <f t="shared" si="14"/>
        <v>-324.61384615385009</v>
      </c>
      <c r="M50" s="3"/>
      <c r="N50" s="7">
        <f t="shared" si="15"/>
        <v>-0.22967789971083521</v>
      </c>
      <c r="O50" s="12"/>
      <c r="P50" s="8">
        <v>17223.62</v>
      </c>
      <c r="Q50" s="3"/>
      <c r="R50" s="7">
        <f t="shared" si="16"/>
        <v>3.4035537896997749E-3</v>
      </c>
      <c r="S50" s="3"/>
      <c r="T50" s="8">
        <v>16960.126153846199</v>
      </c>
      <c r="U50" s="3"/>
      <c r="V50" s="7">
        <f t="shared" si="17"/>
        <v>4.9298923233038281E-3</v>
      </c>
      <c r="W50" s="3"/>
      <c r="X50" s="8">
        <f t="shared" si="18"/>
        <v>263.4938461538004</v>
      </c>
      <c r="Y50" s="3"/>
      <c r="Z50" s="7">
        <f t="shared" si="19"/>
        <v>1.5536078196803128E-2</v>
      </c>
    </row>
    <row r="51" spans="1:26" s="70" customFormat="1" ht="15" hidden="1" customHeight="1" outlineLevel="2" x14ac:dyDescent="0.25">
      <c r="A51" s="25"/>
      <c r="B51" s="12" t="str">
        <f>CONCATENATE("          ","6116"," - ","EDUCATIONAL BENEFITS")</f>
        <v xml:space="preserve">          6116 - EDUCATIONAL BENEFITS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25">
      <c r="A52" s="25"/>
      <c r="B52" s="12" t="str">
        <f>CONCATENATE("          ","6118"," - ","VACATION")</f>
        <v xml:space="preserve">          6118 - VACATION</v>
      </c>
      <c r="C52" s="12"/>
      <c r="D52" s="8">
        <v>1416.42</v>
      </c>
      <c r="E52" s="3"/>
      <c r="F52" s="7">
        <f t="shared" si="12"/>
        <v>1.7793320486328653E-3</v>
      </c>
      <c r="G52" s="3"/>
      <c r="H52" s="8">
        <v>1233.7115384615399</v>
      </c>
      <c r="I52" s="3"/>
      <c r="J52" s="7">
        <f t="shared" si="13"/>
        <v>4.44337349798143E-3</v>
      </c>
      <c r="K52" s="3"/>
      <c r="L52" s="8">
        <f t="shared" si="14"/>
        <v>182.70846153846014</v>
      </c>
      <c r="M52" s="3"/>
      <c r="N52" s="7">
        <f t="shared" si="15"/>
        <v>0.14809658160958827</v>
      </c>
      <c r="O52" s="12"/>
      <c r="P52" s="8">
        <v>21605.919999999998</v>
      </c>
      <c r="Q52" s="3"/>
      <c r="R52" s="7">
        <f t="shared" si="16"/>
        <v>4.2695386275330132E-3</v>
      </c>
      <c r="S52" s="3"/>
      <c r="T52" s="8">
        <v>14804.538461538499</v>
      </c>
      <c r="U52" s="3"/>
      <c r="V52" s="7">
        <f t="shared" si="17"/>
        <v>4.3033158980980519E-3</v>
      </c>
      <c r="W52" s="3"/>
      <c r="X52" s="8">
        <f t="shared" si="18"/>
        <v>6801.3815384614991</v>
      </c>
      <c r="Y52" s="3"/>
      <c r="Z52" s="7">
        <f t="shared" si="19"/>
        <v>0.45941192669607173</v>
      </c>
    </row>
    <row r="53" spans="1:26" s="70" customFormat="1" ht="15" hidden="1" customHeight="1" outlineLevel="2" x14ac:dyDescent="0.25">
      <c r="A53" s="25"/>
      <c r="B53" s="12" t="str">
        <f>CONCATENATE("          ","6119"," - ","SICK LEAVE")</f>
        <v xml:space="preserve">          6119 - SICK LEAVE</v>
      </c>
      <c r="C53" s="12"/>
      <c r="D53" s="8">
        <v>1322.54</v>
      </c>
      <c r="E53" s="3"/>
      <c r="F53" s="7">
        <f t="shared" si="12"/>
        <v>1.6613983194242593E-3</v>
      </c>
      <c r="G53" s="3"/>
      <c r="H53" s="8">
        <v>3068.6438384615399</v>
      </c>
      <c r="I53" s="3"/>
      <c r="J53" s="7">
        <f t="shared" si="13"/>
        <v>1.1052122219402489E-2</v>
      </c>
      <c r="K53" s="3"/>
      <c r="L53" s="8">
        <f t="shared" si="14"/>
        <v>-1746.1038384615399</v>
      </c>
      <c r="M53" s="3"/>
      <c r="N53" s="7">
        <f t="shared" si="15"/>
        <v>-0.56901482556442473</v>
      </c>
      <c r="O53" s="12"/>
      <c r="P53" s="8">
        <v>18967.11</v>
      </c>
      <c r="Q53" s="3"/>
      <c r="R53" s="7">
        <f t="shared" si="16"/>
        <v>3.7480842656858722E-3</v>
      </c>
      <c r="S53" s="3"/>
      <c r="T53" s="8">
        <v>36173.211111538498</v>
      </c>
      <c r="U53" s="3"/>
      <c r="V53" s="7">
        <f t="shared" si="17"/>
        <v>1.0514664463600165E-2</v>
      </c>
      <c r="W53" s="3"/>
      <c r="X53" s="8">
        <f t="shared" si="18"/>
        <v>-17206.101111538497</v>
      </c>
      <c r="Y53" s="3"/>
      <c r="Z53" s="7">
        <f t="shared" si="19"/>
        <v>-0.4756586596220127</v>
      </c>
    </row>
    <row r="54" spans="1:26" s="70" customFormat="1" ht="15" hidden="1" customHeight="1" outlineLevel="2" x14ac:dyDescent="0.25">
      <c r="A54" s="25"/>
      <c r="B54" s="12" t="str">
        <f>CONCATENATE("          ","6156"," - ","EMPLOYEE MEALS")</f>
        <v xml:space="preserve">          6156 - EMPLOYEE MEALS</v>
      </c>
      <c r="C54" s="12"/>
      <c r="D54" s="8">
        <v>1004.05</v>
      </c>
      <c r="E54" s="3"/>
      <c r="F54" s="7">
        <f t="shared" si="12"/>
        <v>1.2613055050266363E-3</v>
      </c>
      <c r="G54" s="3"/>
      <c r="H54" s="8">
        <v>875</v>
      </c>
      <c r="I54" s="3"/>
      <c r="J54" s="7">
        <f t="shared" si="13"/>
        <v>3.1514269661302636E-3</v>
      </c>
      <c r="K54" s="3"/>
      <c r="L54" s="8">
        <f t="shared" si="14"/>
        <v>129.04999999999995</v>
      </c>
      <c r="M54" s="3"/>
      <c r="N54" s="7">
        <f t="shared" si="15"/>
        <v>0.14748571428571422</v>
      </c>
      <c r="O54" s="12"/>
      <c r="P54" s="8">
        <v>9218.5300000000007</v>
      </c>
      <c r="Q54" s="3"/>
      <c r="R54" s="7">
        <f t="shared" si="16"/>
        <v>1.821670631200704E-3</v>
      </c>
      <c r="S54" s="3"/>
      <c r="T54" s="8">
        <v>9625</v>
      </c>
      <c r="U54" s="3"/>
      <c r="V54" s="7">
        <f t="shared" si="17"/>
        <v>2.7977512184388228E-3</v>
      </c>
      <c r="W54" s="3"/>
      <c r="X54" s="8">
        <f t="shared" si="18"/>
        <v>-406.46999999999935</v>
      </c>
      <c r="Y54" s="3"/>
      <c r="Z54" s="7">
        <f t="shared" si="19"/>
        <v>-4.2230649350649282E-2</v>
      </c>
    </row>
    <row r="55" spans="1:26" s="69" customFormat="1" ht="15" customHeight="1" outlineLevel="1" collapsed="1" x14ac:dyDescent="0.25">
      <c r="A55" s="26"/>
      <c r="B55" s="14" t="str">
        <f>CONCATENATE("     ","*Payroll                                          ")</f>
        <v xml:space="preserve">     *Payroll                                          </v>
      </c>
      <c r="C55" s="14"/>
      <c r="D55" s="2">
        <f>SUM(OSRRefD22_1x_0)</f>
        <v>81907.7</v>
      </c>
      <c r="E55" s="2"/>
      <c r="F55" s="6">
        <f t="shared" si="12"/>
        <v>0.10289391256816914</v>
      </c>
      <c r="G55" s="2"/>
      <c r="H55" s="2">
        <f>SUM(OSRRefH22_1x_0)</f>
        <v>73653.905692307701</v>
      </c>
      <c r="I55" s="2"/>
      <c r="J55" s="6">
        <f t="shared" si="13"/>
        <v>0.2652741766394901</v>
      </c>
      <c r="K55" s="2"/>
      <c r="L55" s="2">
        <f t="shared" si="14"/>
        <v>8253.7943076922966</v>
      </c>
      <c r="M55" s="2"/>
      <c r="N55" s="6">
        <f t="shared" si="15"/>
        <v>0.11206186868314724</v>
      </c>
      <c r="O55" s="14"/>
      <c r="P55" s="2">
        <f>SUM(OSRRefP22_1x_0)</f>
        <v>796675.76</v>
      </c>
      <c r="Q55" s="2"/>
      <c r="R55" s="6">
        <f t="shared" si="16"/>
        <v>0.1574308305751026</v>
      </c>
      <c r="S55" s="2"/>
      <c r="T55" s="2">
        <f>SUM(OSRRefT22_1x_0)</f>
        <v>864827.43130769208</v>
      </c>
      <c r="U55" s="2"/>
      <c r="V55" s="6">
        <f t="shared" si="17"/>
        <v>0.25138410386290005</v>
      </c>
      <c r="W55" s="2"/>
      <c r="X55" s="2">
        <f t="shared" si="18"/>
        <v>-68151.671307692071</v>
      </c>
      <c r="Y55" s="2"/>
      <c r="Z55" s="6">
        <f t="shared" si="19"/>
        <v>-7.8803780778138585E-2</v>
      </c>
    </row>
    <row r="56" spans="1:26" s="70" customFormat="1" ht="15" hidden="1" customHeight="1" outlineLevel="2" x14ac:dyDescent="0.25">
      <c r="A56" s="25"/>
      <c r="B56" s="12" t="str">
        <f>CONCATENATE("          ","6001"," - ","ADMINISTRATIVE SALARIES")</f>
        <v xml:space="preserve">          6001 - ADMINISTRATIVE SALARIES</v>
      </c>
      <c r="C56" s="12"/>
      <c r="D56" s="8"/>
      <c r="E56" s="3"/>
      <c r="F56" s="7">
        <f t="shared" si="12"/>
        <v>0</v>
      </c>
      <c r="G56" s="3"/>
      <c r="H56" s="8">
        <v>0</v>
      </c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25">
      <c r="A57" s="25"/>
      <c r="B57" s="12" t="str">
        <f>CONCATENATE("          ","6002"," - ","STAFF SALARIES")</f>
        <v xml:space="preserve">          6002 - STAFF SALARIES</v>
      </c>
      <c r="C57" s="12"/>
      <c r="D57" s="8">
        <v>10399.040000000001</v>
      </c>
      <c r="E57" s="3"/>
      <c r="F57" s="7">
        <f t="shared" si="12"/>
        <v>1.3063459388468895E-2</v>
      </c>
      <c r="G57" s="3"/>
      <c r="H57" s="8">
        <v>14790.807692307701</v>
      </c>
      <c r="I57" s="3"/>
      <c r="J57" s="7">
        <f t="shared" si="13"/>
        <v>5.3271028814154769E-2</v>
      </c>
      <c r="K57" s="3"/>
      <c r="L57" s="8">
        <f t="shared" si="14"/>
        <v>-4391.7676923076997</v>
      </c>
      <c r="M57" s="3"/>
      <c r="N57" s="7">
        <f t="shared" si="15"/>
        <v>-0.29692548126305091</v>
      </c>
      <c r="O57" s="12"/>
      <c r="P57" s="8">
        <v>168288.56</v>
      </c>
      <c r="Q57" s="3"/>
      <c r="R57" s="7">
        <f t="shared" si="16"/>
        <v>3.3255446076441417E-2</v>
      </c>
      <c r="S57" s="3"/>
      <c r="T57" s="8">
        <v>177489.69230769199</v>
      </c>
      <c r="U57" s="3"/>
      <c r="V57" s="7">
        <f t="shared" si="17"/>
        <v>5.1591896406667746E-2</v>
      </c>
      <c r="W57" s="3"/>
      <c r="X57" s="8">
        <f t="shared" si="18"/>
        <v>-9201.1323076919944</v>
      </c>
      <c r="Y57" s="3"/>
      <c r="Z57" s="7">
        <f t="shared" si="19"/>
        <v>-5.1840375562436189E-2</v>
      </c>
    </row>
    <row r="58" spans="1:26" s="70" customFormat="1" ht="15" hidden="1" customHeight="1" outlineLevel="2" x14ac:dyDescent="0.25">
      <c r="A58" s="25"/>
      <c r="B58" s="12" t="str">
        <f>CONCATENATE("          ","6003"," - ","STAFF HOURLY-9 MONTH")</f>
        <v xml:space="preserve">          6003 - STAFF HOURLY-9 MONTH</v>
      </c>
      <c r="C58" s="12"/>
      <c r="D58" s="8"/>
      <c r="E58" s="3"/>
      <c r="F58" s="7">
        <f t="shared" si="12"/>
        <v>0</v>
      </c>
      <c r="G58" s="3"/>
      <c r="H58" s="8">
        <v>0</v>
      </c>
      <c r="I58" s="3"/>
      <c r="J58" s="7">
        <f t="shared" si="13"/>
        <v>0</v>
      </c>
      <c r="K58" s="3"/>
      <c r="L58" s="8">
        <f t="shared" si="14"/>
        <v>0</v>
      </c>
      <c r="M58" s="3"/>
      <c r="N58" s="7">
        <f t="shared" si="15"/>
        <v>0</v>
      </c>
      <c r="O58" s="12"/>
      <c r="P58" s="8"/>
      <c r="Q58" s="3"/>
      <c r="R58" s="7">
        <f t="shared" si="16"/>
        <v>0</v>
      </c>
      <c r="S58" s="3"/>
      <c r="T58" s="8">
        <v>0</v>
      </c>
      <c r="U58" s="3"/>
      <c r="V58" s="7">
        <f t="shared" si="17"/>
        <v>0</v>
      </c>
      <c r="W58" s="3"/>
      <c r="X58" s="8">
        <f t="shared" si="18"/>
        <v>0</v>
      </c>
      <c r="Y58" s="3"/>
      <c r="Z58" s="7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","6004"," - ","STAFF HOURLY")</f>
        <v xml:space="preserve">          6004 - STAFF HOURLY</v>
      </c>
      <c r="C59" s="12"/>
      <c r="D59" s="8">
        <v>16731.25</v>
      </c>
      <c r="E59" s="3"/>
      <c r="F59" s="7">
        <f t="shared" si="12"/>
        <v>2.1018094448460645E-2</v>
      </c>
      <c r="G59" s="3"/>
      <c r="H59" s="8">
        <v>20297.088</v>
      </c>
      <c r="I59" s="3"/>
      <c r="J59" s="7">
        <f t="shared" si="13"/>
        <v>7.3102617665278841E-2</v>
      </c>
      <c r="K59" s="3"/>
      <c r="L59" s="8">
        <f t="shared" si="14"/>
        <v>-3565.8379999999997</v>
      </c>
      <c r="M59" s="3"/>
      <c r="N59" s="7">
        <f t="shared" si="15"/>
        <v>-0.17568224565021345</v>
      </c>
      <c r="O59" s="12"/>
      <c r="P59" s="8">
        <v>121897.63</v>
      </c>
      <c r="Q59" s="3"/>
      <c r="R59" s="7">
        <f t="shared" si="16"/>
        <v>2.4088149909364059E-2</v>
      </c>
      <c r="S59" s="3"/>
      <c r="T59" s="8">
        <v>240033.18400000001</v>
      </c>
      <c r="U59" s="3"/>
      <c r="V59" s="7">
        <f t="shared" si="17"/>
        <v>6.9771754078103917E-2</v>
      </c>
      <c r="W59" s="3"/>
      <c r="X59" s="8">
        <f t="shared" si="18"/>
        <v>-118135.554</v>
      </c>
      <c r="Y59" s="3"/>
      <c r="Z59" s="7">
        <f t="shared" si="19"/>
        <v>-0.49216342520374184</v>
      </c>
    </row>
    <row r="60" spans="1:26" s="70" customFormat="1" ht="15" hidden="1" customHeight="1" outlineLevel="2" x14ac:dyDescent="0.25">
      <c r="A60" s="25"/>
      <c r="B60" s="12" t="str">
        <f>CONCATENATE("          ","6005"," - ","TEMPORARY WAGES-HOURLY")</f>
        <v xml:space="preserve">          6005 - TEMPORARY WAGES-HOURLY</v>
      </c>
      <c r="C60" s="12"/>
      <c r="D60" s="8"/>
      <c r="E60" s="3"/>
      <c r="F60" s="7">
        <f t="shared" si="12"/>
        <v>0</v>
      </c>
      <c r="G60" s="3"/>
      <c r="H60" s="8">
        <v>0</v>
      </c>
      <c r="I60" s="3"/>
      <c r="J60" s="7">
        <f t="shared" si="13"/>
        <v>0</v>
      </c>
      <c r="K60" s="3"/>
      <c r="L60" s="8">
        <f t="shared" si="14"/>
        <v>0</v>
      </c>
      <c r="M60" s="3"/>
      <c r="N60" s="7">
        <f t="shared" si="15"/>
        <v>0</v>
      </c>
      <c r="O60" s="12"/>
      <c r="P60" s="8">
        <v>36130.53</v>
      </c>
      <c r="Q60" s="3"/>
      <c r="R60" s="7">
        <f t="shared" si="16"/>
        <v>7.1397419535127581E-3</v>
      </c>
      <c r="S60" s="3"/>
      <c r="T60" s="8">
        <v>0</v>
      </c>
      <c r="U60" s="3"/>
      <c r="V60" s="7">
        <f t="shared" si="17"/>
        <v>0</v>
      </c>
      <c r="W60" s="3"/>
      <c r="X60" s="8">
        <f t="shared" si="18"/>
        <v>36130.53</v>
      </c>
      <c r="Y60" s="3"/>
      <c r="Z60" s="7">
        <f t="shared" si="19"/>
        <v>0</v>
      </c>
    </row>
    <row r="61" spans="1:26" s="70" customFormat="1" ht="15" hidden="1" customHeight="1" outlineLevel="2" x14ac:dyDescent="0.25">
      <c r="A61" s="25"/>
      <c r="B61" s="12" t="str">
        <f>CONCATENATE("          ","6006"," - ","TEMPORARY PART TIME")</f>
        <v xml:space="preserve">          6006 - TEMPORARY PART TIME</v>
      </c>
      <c r="C61" s="12"/>
      <c r="D61" s="8"/>
      <c r="E61" s="3"/>
      <c r="F61" s="7">
        <f t="shared" si="12"/>
        <v>0</v>
      </c>
      <c r="G61" s="3"/>
      <c r="H61" s="8">
        <v>0</v>
      </c>
      <c r="I61" s="3"/>
      <c r="J61" s="7">
        <f t="shared" si="13"/>
        <v>0</v>
      </c>
      <c r="K61" s="3"/>
      <c r="L61" s="8">
        <f t="shared" si="14"/>
        <v>0</v>
      </c>
      <c r="M61" s="3"/>
      <c r="N61" s="7">
        <f t="shared" si="15"/>
        <v>0</v>
      </c>
      <c r="O61" s="12"/>
      <c r="P61" s="8"/>
      <c r="Q61" s="3"/>
      <c r="R61" s="7">
        <f t="shared" si="16"/>
        <v>0</v>
      </c>
      <c r="S61" s="3"/>
      <c r="T61" s="8">
        <v>0</v>
      </c>
      <c r="U61" s="3"/>
      <c r="V61" s="7">
        <f t="shared" si="17"/>
        <v>0</v>
      </c>
      <c r="W61" s="3"/>
      <c r="X61" s="8">
        <f t="shared" si="18"/>
        <v>0</v>
      </c>
      <c r="Y61" s="3"/>
      <c r="Z61" s="7">
        <f t="shared" si="19"/>
        <v>0</v>
      </c>
    </row>
    <row r="62" spans="1:26" s="70" customFormat="1" ht="15" hidden="1" customHeight="1" outlineLevel="2" x14ac:dyDescent="0.25">
      <c r="A62" s="25"/>
      <c r="B62" s="12" t="str">
        <f>CONCATENATE("          ","6007"," - ","STUDENT HOURLY")</f>
        <v xml:space="preserve">          6007 - STUDENT HOURLY</v>
      </c>
      <c r="C62" s="12"/>
      <c r="D62" s="8">
        <v>45858.17</v>
      </c>
      <c r="E62" s="3"/>
      <c r="F62" s="7">
        <f t="shared" si="12"/>
        <v>5.7607850477015429E-2</v>
      </c>
      <c r="G62" s="3"/>
      <c r="H62" s="8">
        <v>29532</v>
      </c>
      <c r="I62" s="3"/>
      <c r="J62" s="7">
        <f t="shared" si="13"/>
        <v>0.10636336133001023</v>
      </c>
      <c r="K62" s="3"/>
      <c r="L62" s="8">
        <f t="shared" si="14"/>
        <v>16326.169999999998</v>
      </c>
      <c r="M62" s="3"/>
      <c r="N62" s="7">
        <f t="shared" si="15"/>
        <v>0.55282981172964918</v>
      </c>
      <c r="O62" s="12"/>
      <c r="P62" s="8">
        <v>375582.55</v>
      </c>
      <c r="Q62" s="3"/>
      <c r="R62" s="7">
        <f t="shared" si="16"/>
        <v>7.4218742134209023E-2</v>
      </c>
      <c r="S62" s="3"/>
      <c r="T62" s="8">
        <v>298722.75</v>
      </c>
      <c r="U62" s="3"/>
      <c r="V62" s="7">
        <f t="shared" si="17"/>
        <v>8.6831370159781388E-2</v>
      </c>
      <c r="W62" s="3"/>
      <c r="X62" s="8">
        <f t="shared" si="18"/>
        <v>76859.799999999988</v>
      </c>
      <c r="Y62" s="3"/>
      <c r="Z62" s="7">
        <f t="shared" si="19"/>
        <v>0.25729476579872135</v>
      </c>
    </row>
    <row r="63" spans="1:26" s="70" customFormat="1" ht="15" hidden="1" customHeight="1" outlineLevel="2" x14ac:dyDescent="0.25">
      <c r="A63" s="25"/>
      <c r="B63" s="12" t="str">
        <f>CONCATENATE("          ","6008"," - ","STUDENT HOURLY-FICA EXEMPT")</f>
        <v xml:space="preserve">          6008 - STUDENT HOURLY-FICA EXEMPT</v>
      </c>
      <c r="C63" s="12"/>
      <c r="D63" s="8">
        <v>8919.24</v>
      </c>
      <c r="E63" s="3"/>
      <c r="F63" s="7">
        <f t="shared" si="12"/>
        <v>1.1204508254224168E-2</v>
      </c>
      <c r="G63" s="3"/>
      <c r="H63" s="8">
        <v>9034.01</v>
      </c>
      <c r="I63" s="3"/>
      <c r="J63" s="7">
        <f t="shared" si="13"/>
        <v>3.2537168830046245E-2</v>
      </c>
      <c r="K63" s="3"/>
      <c r="L63" s="8">
        <f t="shared" si="14"/>
        <v>-114.77000000000044</v>
      </c>
      <c r="M63" s="3"/>
      <c r="N63" s="7">
        <f t="shared" si="15"/>
        <v>-1.2704214407555496E-2</v>
      </c>
      <c r="O63" s="12"/>
      <c r="P63" s="8">
        <v>94776.49</v>
      </c>
      <c r="Q63" s="3"/>
      <c r="R63" s="7">
        <f t="shared" si="16"/>
        <v>1.8728750501575329E-2</v>
      </c>
      <c r="S63" s="3"/>
      <c r="T63" s="8">
        <v>148581.80499999999</v>
      </c>
      <c r="U63" s="3"/>
      <c r="V63" s="7">
        <f t="shared" si="17"/>
        <v>4.3189083218346969E-2</v>
      </c>
      <c r="W63" s="3"/>
      <c r="X63" s="8">
        <f t="shared" si="18"/>
        <v>-53805.314999999988</v>
      </c>
      <c r="Y63" s="3"/>
      <c r="Z63" s="7">
        <f t="shared" si="19"/>
        <v>-0.36212586729579704</v>
      </c>
    </row>
    <row r="64" spans="1:26" s="70" customFormat="1" ht="15" hidden="1" customHeight="1" outlineLevel="2" x14ac:dyDescent="0.25">
      <c r="A64" s="25"/>
      <c r="B64" s="12" t="str">
        <f>CONCATENATE("          ","6009"," - ","TEMPORARY-SEASONAL")</f>
        <v xml:space="preserve">          6009 - TEMPORARY-SEASONAL</v>
      </c>
      <c r="C64" s="12"/>
      <c r="D64" s="8"/>
      <c r="E64" s="3"/>
      <c r="F64" s="7">
        <f t="shared" si="12"/>
        <v>0</v>
      </c>
      <c r="G64" s="3"/>
      <c r="H64" s="8">
        <v>0</v>
      </c>
      <c r="I64" s="3"/>
      <c r="J64" s="7">
        <f t="shared" si="13"/>
        <v>0</v>
      </c>
      <c r="K64" s="3"/>
      <c r="L64" s="8">
        <f t="shared" si="14"/>
        <v>0</v>
      </c>
      <c r="M64" s="3"/>
      <c r="N64" s="7">
        <f t="shared" si="15"/>
        <v>0</v>
      </c>
      <c r="O64" s="12"/>
      <c r="P64" s="8"/>
      <c r="Q64" s="3"/>
      <c r="R64" s="7">
        <f t="shared" si="16"/>
        <v>0</v>
      </c>
      <c r="S64" s="3"/>
      <c r="T64" s="8">
        <v>0</v>
      </c>
      <c r="U64" s="3"/>
      <c r="V64" s="7">
        <f t="shared" si="17"/>
        <v>0</v>
      </c>
      <c r="W64" s="3"/>
      <c r="X64" s="8">
        <f t="shared" si="18"/>
        <v>0</v>
      </c>
      <c r="Y64" s="3"/>
      <c r="Z64" s="7">
        <f t="shared" si="19"/>
        <v>0</v>
      </c>
    </row>
    <row r="65" spans="1:26" s="70" customFormat="1" ht="15" hidden="1" customHeight="1" outlineLevel="2" x14ac:dyDescent="0.25">
      <c r="A65" s="25"/>
      <c r="B65" s="12" t="str">
        <f>CONCATENATE("          ","6010"," - ","GRATUITY")</f>
        <v xml:space="preserve">          6010 - GRATUITY</v>
      </c>
      <c r="C65" s="12"/>
      <c r="D65" s="8"/>
      <c r="E65" s="3"/>
      <c r="F65" s="7">
        <f t="shared" si="12"/>
        <v>0</v>
      </c>
      <c r="G65" s="3"/>
      <c r="H65" s="8">
        <v>0</v>
      </c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/>
      <c r="Q65" s="3"/>
      <c r="R65" s="7">
        <f t="shared" si="16"/>
        <v>0</v>
      </c>
      <c r="S65" s="3"/>
      <c r="T65" s="8">
        <v>0</v>
      </c>
      <c r="U65" s="3"/>
      <c r="V65" s="7">
        <f t="shared" si="17"/>
        <v>0</v>
      </c>
      <c r="W65" s="3"/>
      <c r="X65" s="8">
        <f t="shared" si="18"/>
        <v>0</v>
      </c>
      <c r="Y65" s="3"/>
      <c r="Z65" s="7">
        <f t="shared" si="19"/>
        <v>0</v>
      </c>
    </row>
    <row r="66" spans="1:26" s="69" customFormat="1" ht="15" customHeight="1" outlineLevel="1" collapsed="1" x14ac:dyDescent="0.25">
      <c r="A66" s="26"/>
      <c r="B66" s="14" t="str">
        <f>CONCATENATE("     ","Advertising/Promo                                 ")</f>
        <v xml:space="preserve">     Advertising/Promo                                 </v>
      </c>
      <c r="C66" s="14"/>
      <c r="D66" s="2">
        <f>SUM(OSRRefD22_2x_0)</f>
        <v>1245.48</v>
      </c>
      <c r="E66" s="2"/>
      <c r="F66" s="6">
        <f t="shared" si="12"/>
        <v>1.5645941739958918E-3</v>
      </c>
      <c r="G66" s="2"/>
      <c r="H66" s="2">
        <f>SUM(OSRRefH22_2x_0)</f>
        <v>150</v>
      </c>
      <c r="I66" s="2"/>
      <c r="J66" s="6">
        <f t="shared" si="13"/>
        <v>5.4024462276518811E-4</v>
      </c>
      <c r="K66" s="2"/>
      <c r="L66" s="2">
        <f t="shared" si="14"/>
        <v>1095.48</v>
      </c>
      <c r="M66" s="2"/>
      <c r="N66" s="6">
        <f t="shared" si="15"/>
        <v>7.3032000000000004</v>
      </c>
      <c r="O66" s="14"/>
      <c r="P66" s="2">
        <f>SUM(OSRRefP22_2x_0)</f>
        <v>12134.69</v>
      </c>
      <c r="Q66" s="2"/>
      <c r="R66" s="6">
        <f t="shared" si="16"/>
        <v>2.3979320338193694E-3</v>
      </c>
      <c r="S66" s="2"/>
      <c r="T66" s="2">
        <f>SUM(OSRRefT22_2x_0)</f>
        <v>3050</v>
      </c>
      <c r="U66" s="2"/>
      <c r="V66" s="6">
        <f t="shared" si="17"/>
        <v>8.8656012636243212E-4</v>
      </c>
      <c r="W66" s="2"/>
      <c r="X66" s="2">
        <f t="shared" si="18"/>
        <v>9084.69</v>
      </c>
      <c r="Y66" s="2"/>
      <c r="Z66" s="6">
        <f t="shared" si="19"/>
        <v>2.9785868852459019</v>
      </c>
    </row>
    <row r="67" spans="1:26" s="70" customFormat="1" ht="15" hidden="1" customHeight="1" outlineLevel="2" x14ac:dyDescent="0.25">
      <c r="A67" s="25"/>
      <c r="B67" s="12" t="str">
        <f>CONCATENATE("          ","6362"," - ","ADVERTISING EXPENSE")</f>
        <v xml:space="preserve">          6362 - ADVERTISING EXPENSE</v>
      </c>
      <c r="C67" s="12"/>
      <c r="D67" s="8">
        <v>1245.48</v>
      </c>
      <c r="E67" s="3"/>
      <c r="F67" s="7">
        <f t="shared" si="12"/>
        <v>1.5645941739958918E-3</v>
      </c>
      <c r="G67" s="3"/>
      <c r="H67" s="8">
        <v>150</v>
      </c>
      <c r="I67" s="3"/>
      <c r="J67" s="7">
        <f t="shared" si="13"/>
        <v>5.4024462276518811E-4</v>
      </c>
      <c r="K67" s="3"/>
      <c r="L67" s="8">
        <f t="shared" si="14"/>
        <v>1095.48</v>
      </c>
      <c r="M67" s="3"/>
      <c r="N67" s="7">
        <f t="shared" si="15"/>
        <v>7.3032000000000004</v>
      </c>
      <c r="O67" s="12"/>
      <c r="P67" s="8">
        <v>12134.69</v>
      </c>
      <c r="Q67" s="3"/>
      <c r="R67" s="7">
        <f t="shared" si="16"/>
        <v>2.3979320338193694E-3</v>
      </c>
      <c r="S67" s="3"/>
      <c r="T67" s="8">
        <v>3050</v>
      </c>
      <c r="U67" s="3"/>
      <c r="V67" s="7">
        <f t="shared" si="17"/>
        <v>8.8656012636243212E-4</v>
      </c>
      <c r="W67" s="3"/>
      <c r="X67" s="8">
        <f t="shared" si="18"/>
        <v>9084.69</v>
      </c>
      <c r="Y67" s="3"/>
      <c r="Z67" s="7">
        <f t="shared" si="19"/>
        <v>2.9785868852459019</v>
      </c>
    </row>
    <row r="68" spans="1:26" s="69" customFormat="1" ht="15" customHeight="1" outlineLevel="1" collapsed="1" x14ac:dyDescent="0.25">
      <c r="A68" s="26"/>
      <c r="B68" s="14" t="str">
        <f>CONCATENATE("     ","Bad Debts/Over/Short                              ")</f>
        <v xml:space="preserve">     Bad Debts/Over/Short                              </v>
      </c>
      <c r="C68" s="14"/>
      <c r="D68" s="2">
        <f>SUM(OSRRefD22_3x_0)</f>
        <v>-4.79</v>
      </c>
      <c r="E68" s="2"/>
      <c r="F68" s="6">
        <f t="shared" si="12"/>
        <v>-6.0172833714233241E-6</v>
      </c>
      <c r="G68" s="2"/>
      <c r="H68" s="2">
        <f>SUM(OSRRefH22_3x_0)</f>
        <v>35</v>
      </c>
      <c r="I68" s="2"/>
      <c r="J68" s="6">
        <f t="shared" si="13"/>
        <v>1.2605707864521055E-4</v>
      </c>
      <c r="K68" s="2"/>
      <c r="L68" s="2">
        <f t="shared" si="14"/>
        <v>-39.79</v>
      </c>
      <c r="M68" s="2"/>
      <c r="N68" s="6">
        <f t="shared" si="15"/>
        <v>-1.1368571428571428</v>
      </c>
      <c r="O68" s="14"/>
      <c r="P68" s="2">
        <f>SUM(OSRRefP22_3x_0)</f>
        <v>-61.71</v>
      </c>
      <c r="Q68" s="2"/>
      <c r="R68" s="6">
        <f t="shared" si="16"/>
        <v>-1.219449246803942E-5</v>
      </c>
      <c r="S68" s="2"/>
      <c r="T68" s="2">
        <f>SUM(OSRRefT22_3x_0)</f>
        <v>385</v>
      </c>
      <c r="U68" s="2"/>
      <c r="V68" s="6">
        <f t="shared" si="17"/>
        <v>1.1191004873755291E-4</v>
      </c>
      <c r="W68" s="2"/>
      <c r="X68" s="2">
        <f t="shared" si="18"/>
        <v>-446.71</v>
      </c>
      <c r="Y68" s="2"/>
      <c r="Z68" s="6">
        <f t="shared" si="19"/>
        <v>-1.1602857142857141</v>
      </c>
    </row>
    <row r="69" spans="1:26" s="70" customFormat="1" ht="15" hidden="1" customHeight="1" outlineLevel="2" x14ac:dyDescent="0.25">
      <c r="A69" s="25"/>
      <c r="B69" s="12" t="str">
        <f>CONCATENATE("          ","6272"," - ","CASH (OVER/SHORT)")</f>
        <v xml:space="preserve">          6272 - CASH (OVER/SHORT)</v>
      </c>
      <c r="C69" s="12"/>
      <c r="D69" s="8">
        <v>-4.79</v>
      </c>
      <c r="E69" s="3"/>
      <c r="F69" s="7">
        <f t="shared" si="12"/>
        <v>-6.0172833714233241E-6</v>
      </c>
      <c r="G69" s="3"/>
      <c r="H69" s="8">
        <v>35</v>
      </c>
      <c r="I69" s="3"/>
      <c r="J69" s="7">
        <f t="shared" si="13"/>
        <v>1.2605707864521055E-4</v>
      </c>
      <c r="K69" s="3"/>
      <c r="L69" s="8">
        <f t="shared" si="14"/>
        <v>-39.79</v>
      </c>
      <c r="M69" s="3"/>
      <c r="N69" s="7">
        <f t="shared" si="15"/>
        <v>-1.1368571428571428</v>
      </c>
      <c r="O69" s="12"/>
      <c r="P69" s="8">
        <v>-61.71</v>
      </c>
      <c r="Q69" s="3"/>
      <c r="R69" s="7">
        <f t="shared" si="16"/>
        <v>-1.219449246803942E-5</v>
      </c>
      <c r="S69" s="3"/>
      <c r="T69" s="8">
        <v>385</v>
      </c>
      <c r="U69" s="3"/>
      <c r="V69" s="7">
        <f t="shared" si="17"/>
        <v>1.1191004873755291E-4</v>
      </c>
      <c r="W69" s="3"/>
      <c r="X69" s="8">
        <f t="shared" si="18"/>
        <v>-446.71</v>
      </c>
      <c r="Y69" s="3"/>
      <c r="Z69" s="7">
        <f t="shared" si="19"/>
        <v>-1.1602857142857141</v>
      </c>
    </row>
    <row r="70" spans="1:26" s="69" customFormat="1" ht="15" customHeight="1" outlineLevel="1" collapsed="1" x14ac:dyDescent="0.25">
      <c r="A70" s="26"/>
      <c r="B70" s="14" t="str">
        <f>CONCATENATE("     ","Bank/card Fees                                    ")</f>
        <v xml:space="preserve">     Bank/card Fees                                    </v>
      </c>
      <c r="C70" s="14"/>
      <c r="D70" s="2">
        <f>SUM(OSRRefD22_4x_0)</f>
        <v>855.75</v>
      </c>
      <c r="E70" s="2"/>
      <c r="F70" s="6">
        <f t="shared" si="12"/>
        <v>1.0750084018988537E-3</v>
      </c>
      <c r="G70" s="2"/>
      <c r="H70" s="2">
        <f>SUM(OSRRefH22_4x_0)</f>
        <v>1471</v>
      </c>
      <c r="I70" s="2"/>
      <c r="J70" s="6">
        <f t="shared" si="13"/>
        <v>5.2979989339172777E-3</v>
      </c>
      <c r="K70" s="2"/>
      <c r="L70" s="2">
        <f t="shared" si="14"/>
        <v>-615.25</v>
      </c>
      <c r="M70" s="2"/>
      <c r="N70" s="6">
        <f t="shared" si="15"/>
        <v>-0.41825288919102649</v>
      </c>
      <c r="O70" s="14"/>
      <c r="P70" s="2">
        <f>SUM(OSRRefP22_4x_0)</f>
        <v>6201.47</v>
      </c>
      <c r="Q70" s="2"/>
      <c r="R70" s="6">
        <f t="shared" si="16"/>
        <v>1.2254704133166816E-3</v>
      </c>
      <c r="S70" s="2"/>
      <c r="T70" s="2">
        <f>SUM(OSRRefT22_4x_0)</f>
        <v>15888</v>
      </c>
      <c r="U70" s="2"/>
      <c r="V70" s="6">
        <f t="shared" si="17"/>
        <v>4.6182515697201056E-3</v>
      </c>
      <c r="W70" s="2"/>
      <c r="X70" s="2">
        <f t="shared" si="18"/>
        <v>-9686.5299999999988</v>
      </c>
      <c r="Y70" s="2"/>
      <c r="Z70" s="6">
        <f t="shared" si="19"/>
        <v>-0.60967585599194352</v>
      </c>
    </row>
    <row r="71" spans="1:26" s="70" customFormat="1" ht="15" hidden="1" customHeight="1" outlineLevel="2" x14ac:dyDescent="0.25">
      <c r="A71" s="25"/>
      <c r="B71" s="12" t="str">
        <f>CONCATENATE("          ","6381"," - ","BANK/CREDIT CARD FEES")</f>
        <v xml:space="preserve">          6381 - BANK/CREDIT CARD FEES</v>
      </c>
      <c r="C71" s="12"/>
      <c r="D71" s="8">
        <v>855.75</v>
      </c>
      <c r="E71" s="3"/>
      <c r="F71" s="7">
        <f t="shared" si="12"/>
        <v>1.0750084018988537E-3</v>
      </c>
      <c r="G71" s="3"/>
      <c r="H71" s="8">
        <v>1471</v>
      </c>
      <c r="I71" s="3"/>
      <c r="J71" s="7">
        <f t="shared" si="13"/>
        <v>5.2979989339172777E-3</v>
      </c>
      <c r="K71" s="3"/>
      <c r="L71" s="8">
        <f t="shared" si="14"/>
        <v>-615.25</v>
      </c>
      <c r="M71" s="3"/>
      <c r="N71" s="7">
        <f t="shared" si="15"/>
        <v>-0.41825288919102649</v>
      </c>
      <c r="O71" s="12"/>
      <c r="P71" s="8">
        <v>6201.47</v>
      </c>
      <c r="Q71" s="3"/>
      <c r="R71" s="7">
        <f t="shared" si="16"/>
        <v>1.2254704133166816E-3</v>
      </c>
      <c r="S71" s="3"/>
      <c r="T71" s="8">
        <v>15888</v>
      </c>
      <c r="U71" s="3"/>
      <c r="V71" s="7">
        <f t="shared" si="17"/>
        <v>4.6182515697201056E-3</v>
      </c>
      <c r="W71" s="3"/>
      <c r="X71" s="8">
        <f t="shared" si="18"/>
        <v>-9686.5299999999988</v>
      </c>
      <c r="Y71" s="3"/>
      <c r="Z71" s="7">
        <f t="shared" si="19"/>
        <v>-0.60967585599194352</v>
      </c>
    </row>
    <row r="72" spans="1:26" s="69" customFormat="1" ht="15" customHeight="1" outlineLevel="1" collapsed="1" x14ac:dyDescent="0.25">
      <c r="A72" s="26"/>
      <c r="B72" s="14" t="str">
        <f>CONCATENATE("     ","Discounts and Markdowns                           ")</f>
        <v xml:space="preserve">     Discounts and Markdowns                           </v>
      </c>
      <c r="C72" s="14"/>
      <c r="D72" s="2">
        <f>SUM(OSRRefD22_5x_0)</f>
        <v>-17.57</v>
      </c>
      <c r="E72" s="2"/>
      <c r="F72" s="6">
        <f t="shared" si="12"/>
        <v>-2.2071747147371149E-5</v>
      </c>
      <c r="G72" s="2"/>
      <c r="H72" s="2">
        <f>SUM(OSRRefH22_5x_0)</f>
        <v>0</v>
      </c>
      <c r="I72" s="2"/>
      <c r="J72" s="6">
        <f t="shared" si="13"/>
        <v>0</v>
      </c>
      <c r="K72" s="2"/>
      <c r="L72" s="2">
        <f t="shared" si="14"/>
        <v>-17.57</v>
      </c>
      <c r="M72" s="2"/>
      <c r="N72" s="6">
        <f t="shared" si="15"/>
        <v>0</v>
      </c>
      <c r="O72" s="14"/>
      <c r="P72" s="2">
        <f>SUM(OSRRefP22_5x_0)</f>
        <v>-39.1</v>
      </c>
      <c r="Q72" s="2"/>
      <c r="R72" s="6">
        <f t="shared" si="16"/>
        <v>-7.7265379274078977E-6</v>
      </c>
      <c r="S72" s="2"/>
      <c r="T72" s="2">
        <f>SUM(OSRRefT22_5x_0)</f>
        <v>0</v>
      </c>
      <c r="U72" s="2"/>
      <c r="V72" s="6">
        <f t="shared" si="17"/>
        <v>0</v>
      </c>
      <c r="W72" s="2"/>
      <c r="X72" s="2">
        <f t="shared" si="18"/>
        <v>-39.1</v>
      </c>
      <c r="Y72" s="2"/>
      <c r="Z72" s="6">
        <f t="shared" si="19"/>
        <v>0</v>
      </c>
    </row>
    <row r="73" spans="1:26" s="70" customFormat="1" ht="15" hidden="1" customHeight="1" outlineLevel="2" x14ac:dyDescent="0.25">
      <c r="A73" s="25"/>
      <c r="B73" s="12" t="str">
        <f>CONCATENATE("          ","6382"," - ","DISCOUNTS/MARK DOWNS")</f>
        <v xml:space="preserve">          6382 - DISCOUNTS/MARK DOWNS</v>
      </c>
      <c r="C73" s="12"/>
      <c r="D73" s="8"/>
      <c r="E73" s="3"/>
      <c r="F73" s="7">
        <f t="shared" si="12"/>
        <v>0</v>
      </c>
      <c r="G73" s="3"/>
      <c r="H73" s="8"/>
      <c r="I73" s="3"/>
      <c r="J73" s="7">
        <f t="shared" si="13"/>
        <v>0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/>
      <c r="Q73" s="3"/>
      <c r="R73" s="7">
        <f t="shared" si="16"/>
        <v>0</v>
      </c>
      <c r="S73" s="3"/>
      <c r="T73" s="8">
        <v>0</v>
      </c>
      <c r="U73" s="3"/>
      <c r="V73" s="7">
        <f t="shared" si="17"/>
        <v>0</v>
      </c>
      <c r="W73" s="3"/>
      <c r="X73" s="8">
        <f t="shared" si="18"/>
        <v>0</v>
      </c>
      <c r="Y73" s="3"/>
      <c r="Z73" s="7">
        <f t="shared" si="19"/>
        <v>0</v>
      </c>
    </row>
    <row r="74" spans="1:26" s="70" customFormat="1" ht="15" hidden="1" customHeight="1" outlineLevel="2" x14ac:dyDescent="0.25">
      <c r="A74" s="25"/>
      <c r="B74" s="12" t="str">
        <f>CONCATENATE("          ","9175"," - ","EARNED DISCOUNTS")</f>
        <v xml:space="preserve">          9175 - EARNED DISCOUNTS</v>
      </c>
      <c r="C74" s="12"/>
      <c r="D74" s="8">
        <v>-17.57</v>
      </c>
      <c r="E74" s="3"/>
      <c r="F74" s="7">
        <f t="shared" si="12"/>
        <v>-2.2071747147371149E-5</v>
      </c>
      <c r="G74" s="3"/>
      <c r="H74" s="8"/>
      <c r="I74" s="3"/>
      <c r="J74" s="7">
        <f t="shared" si="13"/>
        <v>0</v>
      </c>
      <c r="K74" s="3"/>
      <c r="L74" s="8">
        <f t="shared" si="14"/>
        <v>-17.57</v>
      </c>
      <c r="M74" s="3"/>
      <c r="N74" s="7">
        <f t="shared" si="15"/>
        <v>0</v>
      </c>
      <c r="O74" s="12"/>
      <c r="P74" s="8">
        <v>-39.1</v>
      </c>
      <c r="Q74" s="3"/>
      <c r="R74" s="7">
        <f t="shared" si="16"/>
        <v>-7.7265379274078977E-6</v>
      </c>
      <c r="S74" s="3"/>
      <c r="T74" s="8"/>
      <c r="U74" s="3"/>
      <c r="V74" s="7">
        <f t="shared" si="17"/>
        <v>0</v>
      </c>
      <c r="W74" s="3"/>
      <c r="X74" s="8">
        <f t="shared" si="18"/>
        <v>-39.1</v>
      </c>
      <c r="Y74" s="3"/>
      <c r="Z74" s="7">
        <f t="shared" si="19"/>
        <v>0</v>
      </c>
    </row>
    <row r="75" spans="1:26" s="69" customFormat="1" ht="15" customHeight="1" outlineLevel="1" collapsed="1" x14ac:dyDescent="0.25">
      <c r="A75" s="26"/>
      <c r="B75" s="14" t="str">
        <f>CONCATENATE("     ","Employees' Appreciation                           ")</f>
        <v xml:space="preserve">     Employees' Appreciation                           </v>
      </c>
      <c r="C75" s="14"/>
      <c r="D75" s="2">
        <f>SUM(OSRRefD22_6x_0)</f>
        <v>0</v>
      </c>
      <c r="E75" s="2"/>
      <c r="F75" s="6">
        <f t="shared" si="12"/>
        <v>0</v>
      </c>
      <c r="G75" s="2"/>
      <c r="H75" s="2">
        <f>SUM(OSRRefH22_6x_0)</f>
        <v>75</v>
      </c>
      <c r="I75" s="2"/>
      <c r="J75" s="6">
        <f t="shared" si="13"/>
        <v>2.7012231138259405E-4</v>
      </c>
      <c r="K75" s="2"/>
      <c r="L75" s="2">
        <f t="shared" si="14"/>
        <v>-75</v>
      </c>
      <c r="M75" s="2"/>
      <c r="N75" s="6">
        <f t="shared" si="15"/>
        <v>-1</v>
      </c>
      <c r="O75" s="14"/>
      <c r="P75" s="2">
        <f>SUM(OSRRefP22_6x_0)</f>
        <v>291.13</v>
      </c>
      <c r="Q75" s="2"/>
      <c r="R75" s="6">
        <f t="shared" si="16"/>
        <v>5.7530101964354501E-5</v>
      </c>
      <c r="S75" s="2"/>
      <c r="T75" s="2">
        <f>SUM(OSRRefT22_6x_0)</f>
        <v>825</v>
      </c>
      <c r="U75" s="2"/>
      <c r="V75" s="6">
        <f t="shared" si="17"/>
        <v>2.3980724729475624E-4</v>
      </c>
      <c r="W75" s="2"/>
      <c r="X75" s="2">
        <f t="shared" si="18"/>
        <v>-533.87</v>
      </c>
      <c r="Y75" s="2"/>
      <c r="Z75" s="6">
        <f t="shared" si="19"/>
        <v>-0.64711515151515153</v>
      </c>
    </row>
    <row r="76" spans="1:26" s="70" customFormat="1" ht="15" hidden="1" customHeight="1" outlineLevel="2" x14ac:dyDescent="0.25">
      <c r="A76" s="25"/>
      <c r="B76" s="12" t="str">
        <f>CONCATENATE("          ","6277"," - ","EMPLOYEE APPRECIATION")</f>
        <v xml:space="preserve">          6277 - EMPLOYEE APPRECIATION</v>
      </c>
      <c r="C76" s="12"/>
      <c r="D76" s="8"/>
      <c r="E76" s="3"/>
      <c r="F76" s="7">
        <f t="shared" ref="F76:F107" si="20">IF(D$12=0,0,D76/D$12)</f>
        <v>0</v>
      </c>
      <c r="G76" s="3"/>
      <c r="H76" s="8">
        <v>75</v>
      </c>
      <c r="I76" s="3"/>
      <c r="J76" s="7">
        <f t="shared" ref="J76:J107" si="21">IF(H$12=0,0,H76/H$12)</f>
        <v>2.7012231138259405E-4</v>
      </c>
      <c r="K76" s="3"/>
      <c r="L76" s="8">
        <f t="shared" ref="L76:L107" si="22">+D76-H76</f>
        <v>-75</v>
      </c>
      <c r="M76" s="3"/>
      <c r="N76" s="7">
        <f t="shared" ref="N76:N107" si="23">IF(H76=0,0,L76/H76)</f>
        <v>-1</v>
      </c>
      <c r="O76" s="12"/>
      <c r="P76" s="8">
        <v>291.13</v>
      </c>
      <c r="Q76" s="3"/>
      <c r="R76" s="7">
        <f t="shared" ref="R76:R107" si="24">IF(P$12=0,0,P76/P$12)</f>
        <v>5.7530101964354501E-5</v>
      </c>
      <c r="S76" s="3"/>
      <c r="T76" s="8">
        <v>825</v>
      </c>
      <c r="U76" s="3"/>
      <c r="V76" s="7">
        <f t="shared" ref="V76:V107" si="25">IF(T$12=0,0,T76/T$12)</f>
        <v>2.3980724729475624E-4</v>
      </c>
      <c r="W76" s="3"/>
      <c r="X76" s="8">
        <f t="shared" ref="X76:X107" si="26">+P76-T76</f>
        <v>-533.87</v>
      </c>
      <c r="Y76" s="3"/>
      <c r="Z76" s="7">
        <f t="shared" ref="Z76:Z107" si="27">IF(T76=0,0,X76/T76)</f>
        <v>-0.64711515151515153</v>
      </c>
    </row>
    <row r="77" spans="1:26" s="69" customFormat="1" ht="15" customHeight="1" outlineLevel="1" collapsed="1" x14ac:dyDescent="0.25">
      <c r="A77" s="26"/>
      <c r="B77" s="14" t="str">
        <f>CONCATENATE("     ","Equipment Rental                                  ")</f>
        <v xml:space="preserve">     Equipment Rental                                  </v>
      </c>
      <c r="C77" s="14"/>
      <c r="D77" s="2">
        <f>SUM(OSRRefD22_7x_0)</f>
        <v>0</v>
      </c>
      <c r="E77" s="2"/>
      <c r="F77" s="6">
        <f t="shared" si="20"/>
        <v>0</v>
      </c>
      <c r="G77" s="2"/>
      <c r="H77" s="2">
        <f>SUM(OSRRefH22_7x_0)</f>
        <v>0</v>
      </c>
      <c r="I77" s="2"/>
      <c r="J77" s="6">
        <f t="shared" si="21"/>
        <v>0</v>
      </c>
      <c r="K77" s="2"/>
      <c r="L77" s="2">
        <f t="shared" si="22"/>
        <v>0</v>
      </c>
      <c r="M77" s="2"/>
      <c r="N77" s="6">
        <f t="shared" si="23"/>
        <v>0</v>
      </c>
      <c r="O77" s="14"/>
      <c r="P77" s="2">
        <f>SUM(OSRRefP22_7x_0)</f>
        <v>118.91</v>
      </c>
      <c r="Q77" s="2"/>
      <c r="R77" s="6">
        <f t="shared" si="24"/>
        <v>2.3497765343940488E-5</v>
      </c>
      <c r="S77" s="2"/>
      <c r="T77" s="2">
        <f>SUM(OSRRefT22_7x_0)</f>
        <v>0</v>
      </c>
      <c r="U77" s="2"/>
      <c r="V77" s="6">
        <f t="shared" si="25"/>
        <v>0</v>
      </c>
      <c r="W77" s="2"/>
      <c r="X77" s="2">
        <f t="shared" si="26"/>
        <v>118.91</v>
      </c>
      <c r="Y77" s="2"/>
      <c r="Z77" s="6">
        <f t="shared" si="27"/>
        <v>0</v>
      </c>
    </row>
    <row r="78" spans="1:26" s="70" customFormat="1" ht="15" hidden="1" customHeight="1" outlineLevel="2" x14ac:dyDescent="0.25">
      <c r="A78" s="25"/>
      <c r="B78" s="12" t="str">
        <f>CONCATENATE("          ","6351"," - ","EQUIPMENT RENTAL")</f>
        <v xml:space="preserve">          6351 - EQUIPMENT RENTAL</v>
      </c>
      <c r="C78" s="12"/>
      <c r="D78" s="8"/>
      <c r="E78" s="3"/>
      <c r="F78" s="7">
        <f t="shared" si="20"/>
        <v>0</v>
      </c>
      <c r="G78" s="3"/>
      <c r="H78" s="8"/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2"/>
      <c r="P78" s="8">
        <v>118.91</v>
      </c>
      <c r="Q78" s="3"/>
      <c r="R78" s="7">
        <f t="shared" si="24"/>
        <v>2.3497765343940488E-5</v>
      </c>
      <c r="S78" s="3"/>
      <c r="T78" s="8"/>
      <c r="U78" s="3"/>
      <c r="V78" s="7">
        <f t="shared" si="25"/>
        <v>0</v>
      </c>
      <c r="W78" s="3"/>
      <c r="X78" s="8">
        <f t="shared" si="26"/>
        <v>118.91</v>
      </c>
      <c r="Y78" s="3"/>
      <c r="Z78" s="7">
        <f t="shared" si="27"/>
        <v>0</v>
      </c>
    </row>
    <row r="79" spans="1:26" s="69" customFormat="1" ht="15" customHeight="1" outlineLevel="1" collapsed="1" x14ac:dyDescent="0.25">
      <c r="A79" s="26"/>
      <c r="B79" s="14" t="str">
        <f>CONCATENATE("     ","Freight out/Postage                               ")</f>
        <v xml:space="preserve">     Freight out/Postage                               </v>
      </c>
      <c r="C79" s="14"/>
      <c r="D79" s="2">
        <f>SUM(OSRRefD22_8x_0)</f>
        <v>0</v>
      </c>
      <c r="E79" s="2"/>
      <c r="F79" s="6">
        <f t="shared" si="20"/>
        <v>0</v>
      </c>
      <c r="G79" s="2"/>
      <c r="H79" s="2">
        <f>SUM(OSRRefH22_8x_0)</f>
        <v>50</v>
      </c>
      <c r="I79" s="2"/>
      <c r="J79" s="6">
        <f t="shared" si="21"/>
        <v>1.8008154092172935E-4</v>
      </c>
      <c r="K79" s="2"/>
      <c r="L79" s="2">
        <f t="shared" si="22"/>
        <v>-50</v>
      </c>
      <c r="M79" s="2"/>
      <c r="N79" s="6">
        <f t="shared" si="23"/>
        <v>-1</v>
      </c>
      <c r="O79" s="14"/>
      <c r="P79" s="2">
        <f>SUM(OSRRefP22_8x_0)</f>
        <v>983.79</v>
      </c>
      <c r="Q79" s="2"/>
      <c r="R79" s="6">
        <f t="shared" si="24"/>
        <v>1.9440641298221521E-4</v>
      </c>
      <c r="S79" s="2"/>
      <c r="T79" s="2">
        <f>SUM(OSRRefT22_8x_0)</f>
        <v>550</v>
      </c>
      <c r="U79" s="2"/>
      <c r="V79" s="6">
        <f t="shared" si="25"/>
        <v>1.5987149819650417E-4</v>
      </c>
      <c r="W79" s="2"/>
      <c r="X79" s="2">
        <f t="shared" si="26"/>
        <v>433.78999999999996</v>
      </c>
      <c r="Y79" s="2"/>
      <c r="Z79" s="6">
        <f t="shared" si="27"/>
        <v>0.7887090909090908</v>
      </c>
    </row>
    <row r="80" spans="1:26" s="70" customFormat="1" ht="15" hidden="1" customHeight="1" outlineLevel="2" x14ac:dyDescent="0.25">
      <c r="A80" s="25"/>
      <c r="B80" s="12" t="str">
        <f>CONCATENATE("          ","6305"," - ","FREIGHT OUT")</f>
        <v xml:space="preserve">          6305 - FREIGHT OUT</v>
      </c>
      <c r="C80" s="12"/>
      <c r="D80" s="8"/>
      <c r="E80" s="3"/>
      <c r="F80" s="7">
        <f t="shared" si="20"/>
        <v>0</v>
      </c>
      <c r="G80" s="3"/>
      <c r="H80" s="8">
        <v>50</v>
      </c>
      <c r="I80" s="3"/>
      <c r="J80" s="7">
        <f t="shared" si="21"/>
        <v>1.8008154092172935E-4</v>
      </c>
      <c r="K80" s="3"/>
      <c r="L80" s="8">
        <f t="shared" si="22"/>
        <v>-50</v>
      </c>
      <c r="M80" s="3"/>
      <c r="N80" s="7">
        <f t="shared" si="23"/>
        <v>-1</v>
      </c>
      <c r="O80" s="12"/>
      <c r="P80" s="8">
        <v>893.87</v>
      </c>
      <c r="Q80" s="3"/>
      <c r="R80" s="7">
        <f t="shared" si="24"/>
        <v>1.7663735184583369E-4</v>
      </c>
      <c r="S80" s="3"/>
      <c r="T80" s="8">
        <v>550</v>
      </c>
      <c r="U80" s="3"/>
      <c r="V80" s="7">
        <f t="shared" si="25"/>
        <v>1.5987149819650417E-4</v>
      </c>
      <c r="W80" s="3"/>
      <c r="X80" s="8">
        <f t="shared" si="26"/>
        <v>343.87</v>
      </c>
      <c r="Y80" s="3"/>
      <c r="Z80" s="7">
        <f t="shared" si="27"/>
        <v>0.62521818181818178</v>
      </c>
    </row>
    <row r="81" spans="1:26" s="70" customFormat="1" ht="15" hidden="1" customHeight="1" outlineLevel="2" x14ac:dyDescent="0.25">
      <c r="A81" s="25"/>
      <c r="B81" s="12" t="str">
        <f>CONCATENATE("          ","6307"," - ","POSTAGE")</f>
        <v xml:space="preserve">          6307 - POSTAGE</v>
      </c>
      <c r="C81" s="12"/>
      <c r="D81" s="8"/>
      <c r="E81" s="3"/>
      <c r="F81" s="7">
        <f t="shared" si="20"/>
        <v>0</v>
      </c>
      <c r="G81" s="3"/>
      <c r="H81" s="8"/>
      <c r="I81" s="3"/>
      <c r="J81" s="7">
        <f t="shared" si="21"/>
        <v>0</v>
      </c>
      <c r="K81" s="3"/>
      <c r="L81" s="8">
        <f t="shared" si="22"/>
        <v>0</v>
      </c>
      <c r="M81" s="3"/>
      <c r="N81" s="7">
        <f t="shared" si="23"/>
        <v>0</v>
      </c>
      <c r="O81" s="12"/>
      <c r="P81" s="8">
        <v>89.92</v>
      </c>
      <c r="Q81" s="3"/>
      <c r="R81" s="7">
        <f t="shared" si="24"/>
        <v>1.7769061136381536E-5</v>
      </c>
      <c r="S81" s="3"/>
      <c r="T81" s="8"/>
      <c r="U81" s="3"/>
      <c r="V81" s="7">
        <f t="shared" si="25"/>
        <v>0</v>
      </c>
      <c r="W81" s="3"/>
      <c r="X81" s="8">
        <f t="shared" si="26"/>
        <v>89.92</v>
      </c>
      <c r="Y81" s="3"/>
      <c r="Z81" s="7">
        <f t="shared" si="27"/>
        <v>0</v>
      </c>
    </row>
    <row r="82" spans="1:26" s="69" customFormat="1" ht="15" customHeight="1" outlineLevel="1" collapsed="1" x14ac:dyDescent="0.25">
      <c r="A82" s="26"/>
      <c r="B82" s="14" t="str">
        <f>CONCATENATE("     ","General                                           ")</f>
        <v xml:space="preserve">     General                                           </v>
      </c>
      <c r="C82" s="14"/>
      <c r="D82" s="2">
        <f>SUM(OSRRefD22_9x_0)</f>
        <v>0</v>
      </c>
      <c r="E82" s="2"/>
      <c r="F82" s="6">
        <f t="shared" si="20"/>
        <v>0</v>
      </c>
      <c r="G82" s="2"/>
      <c r="H82" s="2">
        <f>SUM(OSRRefH22_9x_0)</f>
        <v>0</v>
      </c>
      <c r="I82" s="2"/>
      <c r="J82" s="6">
        <f t="shared" si="21"/>
        <v>0</v>
      </c>
      <c r="K82" s="2"/>
      <c r="L82" s="2">
        <f t="shared" si="22"/>
        <v>0</v>
      </c>
      <c r="M82" s="2"/>
      <c r="N82" s="6">
        <f t="shared" si="23"/>
        <v>0</v>
      </c>
      <c r="O82" s="14"/>
      <c r="P82" s="2">
        <f>SUM(OSRRefP22_9x_0)</f>
        <v>3524.95</v>
      </c>
      <c r="Q82" s="2"/>
      <c r="R82" s="6">
        <f t="shared" si="24"/>
        <v>6.9656419097740326E-4</v>
      </c>
      <c r="S82" s="2"/>
      <c r="T82" s="2">
        <f>SUM(OSRRefT22_9x_0)</f>
        <v>1250</v>
      </c>
      <c r="U82" s="2"/>
      <c r="V82" s="6">
        <f t="shared" si="25"/>
        <v>3.6334431408296399E-4</v>
      </c>
      <c r="W82" s="2"/>
      <c r="X82" s="2">
        <f t="shared" si="26"/>
        <v>2274.9499999999998</v>
      </c>
      <c r="Y82" s="2"/>
      <c r="Z82" s="6">
        <f t="shared" si="27"/>
        <v>1.8199599999999998</v>
      </c>
    </row>
    <row r="83" spans="1:26" s="70" customFormat="1" ht="15" hidden="1" customHeight="1" outlineLevel="2" x14ac:dyDescent="0.25">
      <c r="A83" s="25"/>
      <c r="B83" s="12" t="str">
        <f>CONCATENATE("          ","6276"," - ","PROPERTY TAX")</f>
        <v xml:space="preserve">          6276 - PROPERTY TAX</v>
      </c>
      <c r="C83" s="12"/>
      <c r="D83" s="8"/>
      <c r="E83" s="3"/>
      <c r="F83" s="7">
        <f t="shared" si="20"/>
        <v>0</v>
      </c>
      <c r="G83" s="3"/>
      <c r="H83" s="8"/>
      <c r="I83" s="3"/>
      <c r="J83" s="7">
        <f t="shared" si="21"/>
        <v>0</v>
      </c>
      <c r="K83" s="3"/>
      <c r="L83" s="8">
        <f t="shared" si="22"/>
        <v>0</v>
      </c>
      <c r="M83" s="3"/>
      <c r="N83" s="7">
        <f t="shared" si="23"/>
        <v>0</v>
      </c>
      <c r="O83" s="12"/>
      <c r="P83" s="8"/>
      <c r="Q83" s="3"/>
      <c r="R83" s="7">
        <f t="shared" si="24"/>
        <v>0</v>
      </c>
      <c r="S83" s="3"/>
      <c r="T83" s="8">
        <v>1250</v>
      </c>
      <c r="U83" s="3"/>
      <c r="V83" s="7">
        <f t="shared" si="25"/>
        <v>3.6334431408296399E-4</v>
      </c>
      <c r="W83" s="3"/>
      <c r="X83" s="8">
        <f t="shared" si="26"/>
        <v>-1250</v>
      </c>
      <c r="Y83" s="3"/>
      <c r="Z83" s="7">
        <f t="shared" si="27"/>
        <v>-1</v>
      </c>
    </row>
    <row r="84" spans="1:26" s="70" customFormat="1" ht="15" hidden="1" customHeight="1" outlineLevel="2" x14ac:dyDescent="0.25">
      <c r="A84" s="25"/>
      <c r="B84" s="12" t="str">
        <f>CONCATENATE("          ","6279"," - ","GENERAL EXPENSE")</f>
        <v xml:space="preserve">          6279 - GENERAL EXPENSE</v>
      </c>
      <c r="C84" s="12"/>
      <c r="D84" s="8"/>
      <c r="E84" s="3"/>
      <c r="F84" s="7">
        <f t="shared" si="20"/>
        <v>0</v>
      </c>
      <c r="G84" s="3"/>
      <c r="H84" s="8">
        <v>0</v>
      </c>
      <c r="I84" s="3"/>
      <c r="J84" s="7">
        <f t="shared" si="21"/>
        <v>0</v>
      </c>
      <c r="K84" s="3"/>
      <c r="L84" s="8">
        <f t="shared" si="22"/>
        <v>0</v>
      </c>
      <c r="M84" s="3"/>
      <c r="N84" s="7">
        <f t="shared" si="23"/>
        <v>0</v>
      </c>
      <c r="O84" s="12"/>
      <c r="P84" s="8">
        <v>3524.95</v>
      </c>
      <c r="Q84" s="3"/>
      <c r="R84" s="7">
        <f t="shared" si="24"/>
        <v>6.9656419097740326E-4</v>
      </c>
      <c r="S84" s="3"/>
      <c r="T84" s="8">
        <v>0</v>
      </c>
      <c r="U84" s="3"/>
      <c r="V84" s="7">
        <f t="shared" si="25"/>
        <v>0</v>
      </c>
      <c r="W84" s="3"/>
      <c r="X84" s="8">
        <f t="shared" si="26"/>
        <v>3524.95</v>
      </c>
      <c r="Y84" s="3"/>
      <c r="Z84" s="7">
        <f t="shared" si="27"/>
        <v>0</v>
      </c>
    </row>
    <row r="85" spans="1:26" s="69" customFormat="1" ht="15" customHeight="1" outlineLevel="1" collapsed="1" x14ac:dyDescent="0.25">
      <c r="A85" s="26"/>
      <c r="B85" s="14" t="str">
        <f>CONCATENATE("     ","Insurance                                         ")</f>
        <v xml:space="preserve">     Insurance                                         </v>
      </c>
      <c r="C85" s="14"/>
      <c r="D85" s="2">
        <f>SUM(OSRRefD22_10x_0)</f>
        <v>219.08</v>
      </c>
      <c r="E85" s="2"/>
      <c r="F85" s="6">
        <f t="shared" si="20"/>
        <v>2.7521220062868933E-4</v>
      </c>
      <c r="G85" s="2"/>
      <c r="H85" s="2">
        <f>SUM(OSRRefH22_10x_0)</f>
        <v>175</v>
      </c>
      <c r="I85" s="2"/>
      <c r="J85" s="6">
        <f t="shared" si="21"/>
        <v>6.3028539322605281E-4</v>
      </c>
      <c r="K85" s="2"/>
      <c r="L85" s="2">
        <f t="shared" si="22"/>
        <v>44.080000000000013</v>
      </c>
      <c r="M85" s="2"/>
      <c r="N85" s="6">
        <f t="shared" si="23"/>
        <v>0.25188571428571438</v>
      </c>
      <c r="O85" s="14"/>
      <c r="P85" s="2">
        <f>SUM(OSRRefP22_10x_0)</f>
        <v>2409.88</v>
      </c>
      <c r="Q85" s="2"/>
      <c r="R85" s="6">
        <f t="shared" si="24"/>
        <v>4.762155810870011E-4</v>
      </c>
      <c r="S85" s="2"/>
      <c r="T85" s="2">
        <f>SUM(OSRRefT22_10x_0)</f>
        <v>1925</v>
      </c>
      <c r="U85" s="2"/>
      <c r="V85" s="6">
        <f t="shared" si="25"/>
        <v>5.5955024368776454E-4</v>
      </c>
      <c r="W85" s="2"/>
      <c r="X85" s="2">
        <f t="shared" si="26"/>
        <v>484.88000000000011</v>
      </c>
      <c r="Y85" s="2"/>
      <c r="Z85" s="6">
        <f t="shared" si="27"/>
        <v>0.25188571428571432</v>
      </c>
    </row>
    <row r="86" spans="1:26" s="70" customFormat="1" ht="15" hidden="1" customHeight="1" outlineLevel="2" x14ac:dyDescent="0.25">
      <c r="A86" s="25"/>
      <c r="B86" s="12" t="str">
        <f>CONCATENATE("          ","6314"," - ","LIABILITY INSURANCE")</f>
        <v xml:space="preserve">          6314 - LIABILITY INSURANCE</v>
      </c>
      <c r="C86" s="12"/>
      <c r="D86" s="8">
        <v>219.08</v>
      </c>
      <c r="E86" s="3"/>
      <c r="F86" s="7">
        <f t="shared" si="20"/>
        <v>2.7521220062868933E-4</v>
      </c>
      <c r="G86" s="3"/>
      <c r="H86" s="8">
        <v>175</v>
      </c>
      <c r="I86" s="3"/>
      <c r="J86" s="7">
        <f t="shared" si="21"/>
        <v>6.3028539322605281E-4</v>
      </c>
      <c r="K86" s="3"/>
      <c r="L86" s="8">
        <f t="shared" si="22"/>
        <v>44.080000000000013</v>
      </c>
      <c r="M86" s="3"/>
      <c r="N86" s="7">
        <f t="shared" si="23"/>
        <v>0.25188571428571438</v>
      </c>
      <c r="O86" s="12"/>
      <c r="P86" s="8">
        <v>2409.88</v>
      </c>
      <c r="Q86" s="3"/>
      <c r="R86" s="7">
        <f t="shared" si="24"/>
        <v>4.762155810870011E-4</v>
      </c>
      <c r="S86" s="3"/>
      <c r="T86" s="8">
        <v>1925</v>
      </c>
      <c r="U86" s="3"/>
      <c r="V86" s="7">
        <f t="shared" si="25"/>
        <v>5.5955024368776454E-4</v>
      </c>
      <c r="W86" s="3"/>
      <c r="X86" s="8">
        <f t="shared" si="26"/>
        <v>484.88000000000011</v>
      </c>
      <c r="Y86" s="3"/>
      <c r="Z86" s="7">
        <f t="shared" si="27"/>
        <v>0.25188571428571432</v>
      </c>
    </row>
    <row r="87" spans="1:26" s="69" customFormat="1" ht="15" customHeight="1" outlineLevel="1" collapsed="1" x14ac:dyDescent="0.25">
      <c r="A87" s="26"/>
      <c r="B87" s="14" t="str">
        <f>CONCATENATE("     ","Inventory Adjustment                              ")</f>
        <v xml:space="preserve">     Inventory Adjustment                              </v>
      </c>
      <c r="C87" s="14"/>
      <c r="D87" s="2">
        <f>SUM(OSRRefD22_11x_0)</f>
        <v>4100</v>
      </c>
      <c r="E87" s="2"/>
      <c r="F87" s="6">
        <f t="shared" si="20"/>
        <v>5.1504930736608829E-3</v>
      </c>
      <c r="G87" s="2"/>
      <c r="H87" s="2">
        <f>SUM(OSRRefH22_11x_0)</f>
        <v>4100</v>
      </c>
      <c r="I87" s="2"/>
      <c r="J87" s="6">
        <f t="shared" si="21"/>
        <v>1.4766686355581808E-2</v>
      </c>
      <c r="K87" s="2"/>
      <c r="L87" s="2">
        <f t="shared" si="22"/>
        <v>0</v>
      </c>
      <c r="M87" s="2"/>
      <c r="N87" s="6">
        <f t="shared" si="23"/>
        <v>0</v>
      </c>
      <c r="O87" s="14"/>
      <c r="P87" s="2">
        <f>SUM(OSRRefP22_11x_0)</f>
        <v>45100</v>
      </c>
      <c r="Q87" s="2"/>
      <c r="R87" s="6">
        <f t="shared" si="24"/>
        <v>8.9121959213835332E-3</v>
      </c>
      <c r="S87" s="2"/>
      <c r="T87" s="2">
        <f>SUM(OSRRefT22_11x_0)</f>
        <v>45100</v>
      </c>
      <c r="U87" s="2"/>
      <c r="V87" s="6">
        <f t="shared" si="25"/>
        <v>1.3109462852113341E-2</v>
      </c>
      <c r="W87" s="2"/>
      <c r="X87" s="2">
        <f t="shared" si="26"/>
        <v>0</v>
      </c>
      <c r="Y87" s="2"/>
      <c r="Z87" s="6">
        <f t="shared" si="27"/>
        <v>0</v>
      </c>
    </row>
    <row r="88" spans="1:26" s="70" customFormat="1" ht="15" hidden="1" customHeight="1" outlineLevel="2" x14ac:dyDescent="0.25">
      <c r="A88" s="25"/>
      <c r="B88" s="12" t="str">
        <f>CONCATENATE("          ","6408"," - ","INVENTORY ADJUSTMENT")</f>
        <v xml:space="preserve">          6408 - INVENTORY ADJUSTMENT</v>
      </c>
      <c r="C88" s="12"/>
      <c r="D88" s="8">
        <v>4100</v>
      </c>
      <c r="E88" s="3"/>
      <c r="F88" s="7">
        <f t="shared" si="20"/>
        <v>5.1504930736608829E-3</v>
      </c>
      <c r="G88" s="3"/>
      <c r="H88" s="8">
        <v>4100</v>
      </c>
      <c r="I88" s="3"/>
      <c r="J88" s="7">
        <f t="shared" si="21"/>
        <v>1.4766686355581808E-2</v>
      </c>
      <c r="K88" s="3"/>
      <c r="L88" s="8">
        <f t="shared" si="22"/>
        <v>0</v>
      </c>
      <c r="M88" s="3"/>
      <c r="N88" s="7">
        <f t="shared" si="23"/>
        <v>0</v>
      </c>
      <c r="O88" s="12"/>
      <c r="P88" s="8">
        <v>45100</v>
      </c>
      <c r="Q88" s="3"/>
      <c r="R88" s="7">
        <f t="shared" si="24"/>
        <v>8.9121959213835332E-3</v>
      </c>
      <c r="S88" s="3"/>
      <c r="T88" s="8">
        <v>45100</v>
      </c>
      <c r="U88" s="3"/>
      <c r="V88" s="7">
        <f t="shared" si="25"/>
        <v>1.3109462852113341E-2</v>
      </c>
      <c r="W88" s="3"/>
      <c r="X88" s="8">
        <f t="shared" si="26"/>
        <v>0</v>
      </c>
      <c r="Y88" s="3"/>
      <c r="Z88" s="7">
        <f t="shared" si="27"/>
        <v>0</v>
      </c>
    </row>
    <row r="89" spans="1:26" s="69" customFormat="1" ht="15" customHeight="1" outlineLevel="1" collapsed="1" x14ac:dyDescent="0.25">
      <c r="A89" s="26"/>
      <c r="B89" s="14" t="str">
        <f>CONCATENATE("     ","Professional Services                             ")</f>
        <v xml:space="preserve">     Professional Services                             </v>
      </c>
      <c r="C89" s="14"/>
      <c r="D89" s="2">
        <f>SUM(OSRRefD22_12x_0)</f>
        <v>0</v>
      </c>
      <c r="E89" s="2"/>
      <c r="F89" s="6">
        <f t="shared" si="20"/>
        <v>0</v>
      </c>
      <c r="G89" s="2"/>
      <c r="H89" s="2">
        <f>SUM(OSRRefH22_12x_0)</f>
        <v>0</v>
      </c>
      <c r="I89" s="2"/>
      <c r="J89" s="6">
        <f t="shared" si="21"/>
        <v>0</v>
      </c>
      <c r="K89" s="2"/>
      <c r="L89" s="2">
        <f t="shared" si="22"/>
        <v>0</v>
      </c>
      <c r="M89" s="2"/>
      <c r="N89" s="6">
        <f t="shared" si="23"/>
        <v>0</v>
      </c>
      <c r="O89" s="14"/>
      <c r="P89" s="2">
        <f>SUM(OSRRefP22_12x_0)</f>
        <v>2109.1</v>
      </c>
      <c r="Q89" s="2"/>
      <c r="R89" s="6">
        <f t="shared" si="24"/>
        <v>4.1677854584900242E-4</v>
      </c>
      <c r="S89" s="2"/>
      <c r="T89" s="2">
        <f>SUM(OSRRefT22_12x_0)</f>
        <v>1750</v>
      </c>
      <c r="U89" s="2"/>
      <c r="V89" s="6">
        <f t="shared" si="25"/>
        <v>5.0868203971614963E-4</v>
      </c>
      <c r="W89" s="2"/>
      <c r="X89" s="2">
        <f t="shared" si="26"/>
        <v>359.09999999999991</v>
      </c>
      <c r="Y89" s="2"/>
      <c r="Z89" s="6">
        <f t="shared" si="27"/>
        <v>0.20519999999999994</v>
      </c>
    </row>
    <row r="90" spans="1:26" s="70" customFormat="1" ht="15" hidden="1" customHeight="1" outlineLevel="2" x14ac:dyDescent="0.25">
      <c r="A90" s="25"/>
      <c r="B90" s="12" t="str">
        <f>CONCATENATE("          ","6336"," - ","PROFESSIONAL SERVICES")</f>
        <v xml:space="preserve">          6336 - PROFESSIONAL SERVICES</v>
      </c>
      <c r="C90" s="12"/>
      <c r="D90" s="8"/>
      <c r="E90" s="3"/>
      <c r="F90" s="7">
        <f t="shared" si="20"/>
        <v>0</v>
      </c>
      <c r="G90" s="3"/>
      <c r="H90" s="8">
        <v>0</v>
      </c>
      <c r="I90" s="3"/>
      <c r="J90" s="7">
        <f t="shared" si="21"/>
        <v>0</v>
      </c>
      <c r="K90" s="3"/>
      <c r="L90" s="8">
        <f t="shared" si="22"/>
        <v>0</v>
      </c>
      <c r="M90" s="3"/>
      <c r="N90" s="7">
        <f t="shared" si="23"/>
        <v>0</v>
      </c>
      <c r="O90" s="12"/>
      <c r="P90" s="8">
        <v>2109.1</v>
      </c>
      <c r="Q90" s="3"/>
      <c r="R90" s="7">
        <f t="shared" si="24"/>
        <v>4.1677854584900242E-4</v>
      </c>
      <c r="S90" s="3"/>
      <c r="T90" s="8">
        <v>1750</v>
      </c>
      <c r="U90" s="3"/>
      <c r="V90" s="7">
        <f t="shared" si="25"/>
        <v>5.0868203971614963E-4</v>
      </c>
      <c r="W90" s="3"/>
      <c r="X90" s="8">
        <f t="shared" si="26"/>
        <v>359.09999999999991</v>
      </c>
      <c r="Y90" s="3"/>
      <c r="Z90" s="7">
        <f t="shared" si="27"/>
        <v>0.20519999999999994</v>
      </c>
    </row>
    <row r="91" spans="1:26" s="69" customFormat="1" ht="15" customHeight="1" outlineLevel="1" collapsed="1" x14ac:dyDescent="0.25">
      <c r="A91" s="26"/>
      <c r="B91" s="14" t="str">
        <f>CONCATENATE("     ","Rent                                              ")</f>
        <v xml:space="preserve">     Rent                                              </v>
      </c>
      <c r="C91" s="14"/>
      <c r="D91" s="2">
        <f>SUM(OSRRefD22_13x_0)</f>
        <v>6900</v>
      </c>
      <c r="E91" s="2"/>
      <c r="F91" s="6">
        <f t="shared" si="20"/>
        <v>8.6679029776244119E-3</v>
      </c>
      <c r="G91" s="2"/>
      <c r="H91" s="2">
        <f>SUM(OSRRefH22_13x_0)</f>
        <v>6900</v>
      </c>
      <c r="I91" s="2"/>
      <c r="J91" s="6">
        <f t="shared" si="21"/>
        <v>2.4851252647198653E-2</v>
      </c>
      <c r="K91" s="2"/>
      <c r="L91" s="2">
        <f t="shared" si="22"/>
        <v>0</v>
      </c>
      <c r="M91" s="2"/>
      <c r="N91" s="6">
        <f t="shared" si="23"/>
        <v>0</v>
      </c>
      <c r="O91" s="14"/>
      <c r="P91" s="2">
        <f>SUM(OSRRefP22_13x_0)</f>
        <v>75900</v>
      </c>
      <c r="Q91" s="2"/>
      <c r="R91" s="6">
        <f t="shared" si="24"/>
        <v>1.4998573623791801E-2</v>
      </c>
      <c r="S91" s="2"/>
      <c r="T91" s="2">
        <f>SUM(OSRRefT22_13x_0)</f>
        <v>75900</v>
      </c>
      <c r="U91" s="2"/>
      <c r="V91" s="6">
        <f t="shared" si="25"/>
        <v>2.2062266751117575E-2</v>
      </c>
      <c r="W91" s="2"/>
      <c r="X91" s="2">
        <f t="shared" si="26"/>
        <v>0</v>
      </c>
      <c r="Y91" s="2"/>
      <c r="Z91" s="6">
        <f t="shared" si="27"/>
        <v>0</v>
      </c>
    </row>
    <row r="92" spans="1:26" s="70" customFormat="1" ht="15" hidden="1" customHeight="1" outlineLevel="2" x14ac:dyDescent="0.25">
      <c r="A92" s="25"/>
      <c r="B92" s="12" t="str">
        <f>CONCATENATE("          ","6273"," - ","RENT")</f>
        <v xml:space="preserve">          6273 - RENT</v>
      </c>
      <c r="C92" s="12"/>
      <c r="D92" s="8">
        <v>6900</v>
      </c>
      <c r="E92" s="3"/>
      <c r="F92" s="7">
        <f t="shared" si="20"/>
        <v>8.6679029776244119E-3</v>
      </c>
      <c r="G92" s="3"/>
      <c r="H92" s="8">
        <v>6900</v>
      </c>
      <c r="I92" s="3"/>
      <c r="J92" s="7">
        <f t="shared" si="21"/>
        <v>2.4851252647198653E-2</v>
      </c>
      <c r="K92" s="3"/>
      <c r="L92" s="8">
        <f t="shared" si="22"/>
        <v>0</v>
      </c>
      <c r="M92" s="3"/>
      <c r="N92" s="7">
        <f t="shared" si="23"/>
        <v>0</v>
      </c>
      <c r="O92" s="12"/>
      <c r="P92" s="8">
        <v>75900</v>
      </c>
      <c r="Q92" s="3"/>
      <c r="R92" s="7">
        <f t="shared" si="24"/>
        <v>1.4998573623791801E-2</v>
      </c>
      <c r="S92" s="3"/>
      <c r="T92" s="8">
        <v>75900</v>
      </c>
      <c r="U92" s="3"/>
      <c r="V92" s="7">
        <f t="shared" si="25"/>
        <v>2.2062266751117575E-2</v>
      </c>
      <c r="W92" s="3"/>
      <c r="X92" s="8">
        <f t="shared" si="26"/>
        <v>0</v>
      </c>
      <c r="Y92" s="3"/>
      <c r="Z92" s="7">
        <f t="shared" si="27"/>
        <v>0</v>
      </c>
    </row>
    <row r="93" spans="1:26" s="69" customFormat="1" ht="15" customHeight="1" outlineLevel="1" collapsed="1" x14ac:dyDescent="0.25">
      <c r="A93" s="26"/>
      <c r="B93" s="14" t="str">
        <f>CONCATENATE("     ","Repair and Maintenance                            ")</f>
        <v xml:space="preserve">     Repair and Maintenance                            </v>
      </c>
      <c r="C93" s="14"/>
      <c r="D93" s="2">
        <f>SUM(OSRRefD22_14x_0)</f>
        <v>0</v>
      </c>
      <c r="E93" s="2"/>
      <c r="F93" s="6">
        <f t="shared" si="20"/>
        <v>0</v>
      </c>
      <c r="G93" s="2"/>
      <c r="H93" s="2">
        <f>SUM(OSRRefH22_14x_0)</f>
        <v>115</v>
      </c>
      <c r="I93" s="2"/>
      <c r="J93" s="6">
        <f t="shared" si="21"/>
        <v>4.1418754411997753E-4</v>
      </c>
      <c r="K93" s="2"/>
      <c r="L93" s="2">
        <f t="shared" si="22"/>
        <v>-115</v>
      </c>
      <c r="M93" s="2"/>
      <c r="N93" s="6">
        <f t="shared" si="23"/>
        <v>-1</v>
      </c>
      <c r="O93" s="14"/>
      <c r="P93" s="2">
        <f>SUM(OSRRefP22_14x_0)</f>
        <v>6435.8700000000008</v>
      </c>
      <c r="Q93" s="2"/>
      <c r="R93" s="6">
        <f t="shared" si="24"/>
        <v>1.2717901189479967E-3</v>
      </c>
      <c r="S93" s="2"/>
      <c r="T93" s="2">
        <f>SUM(OSRRefT22_14x_0)</f>
        <v>1765</v>
      </c>
      <c r="U93" s="2"/>
      <c r="V93" s="6">
        <f t="shared" si="25"/>
        <v>5.1304217148514521E-4</v>
      </c>
      <c r="W93" s="2"/>
      <c r="X93" s="2">
        <f t="shared" si="26"/>
        <v>4670.8700000000008</v>
      </c>
      <c r="Y93" s="2"/>
      <c r="Z93" s="6">
        <f t="shared" si="27"/>
        <v>2.6463852691218133</v>
      </c>
    </row>
    <row r="94" spans="1:26" s="70" customFormat="1" ht="15" hidden="1" customHeight="1" outlineLevel="2" x14ac:dyDescent="0.25">
      <c r="A94" s="25"/>
      <c r="B94" s="12" t="str">
        <f>CONCATENATE("          ","6373"," - ","MAINTENANCE CONTRACTS")</f>
        <v xml:space="preserve">          6373 - MAINTENANCE CONTRACTS</v>
      </c>
      <c r="C94" s="12"/>
      <c r="D94" s="8"/>
      <c r="E94" s="3"/>
      <c r="F94" s="7">
        <f t="shared" si="20"/>
        <v>0</v>
      </c>
      <c r="G94" s="3"/>
      <c r="H94" s="8">
        <v>115</v>
      </c>
      <c r="I94" s="3"/>
      <c r="J94" s="7">
        <f t="shared" si="21"/>
        <v>4.1418754411997753E-4</v>
      </c>
      <c r="K94" s="3"/>
      <c r="L94" s="8">
        <f t="shared" si="22"/>
        <v>-115</v>
      </c>
      <c r="M94" s="3"/>
      <c r="N94" s="7">
        <f t="shared" si="23"/>
        <v>-1</v>
      </c>
      <c r="O94" s="12"/>
      <c r="P94" s="8">
        <v>1053.73</v>
      </c>
      <c r="Q94" s="3"/>
      <c r="R94" s="7">
        <f t="shared" si="24"/>
        <v>2.0822723299865789E-4</v>
      </c>
      <c r="S94" s="3"/>
      <c r="T94" s="8">
        <v>1265</v>
      </c>
      <c r="U94" s="3"/>
      <c r="V94" s="7">
        <f t="shared" si="25"/>
        <v>3.6770444585195957E-4</v>
      </c>
      <c r="W94" s="3"/>
      <c r="X94" s="8">
        <f t="shared" si="26"/>
        <v>-211.26999999999998</v>
      </c>
      <c r="Y94" s="3"/>
      <c r="Z94" s="7">
        <f t="shared" si="27"/>
        <v>-0.16701185770750987</v>
      </c>
    </row>
    <row r="95" spans="1:26" s="70" customFormat="1" ht="15" hidden="1" customHeight="1" outlineLevel="2" x14ac:dyDescent="0.25">
      <c r="A95" s="25"/>
      <c r="B95" s="12" t="str">
        <f>CONCATENATE("          ","6375"," - ","OUTSIDE REPAIRS &amp; MAINTENANCE")</f>
        <v xml:space="preserve">          6375 - OUTSIDE REPAIRS &amp; MAINTENANCE</v>
      </c>
      <c r="C95" s="12"/>
      <c r="D95" s="8"/>
      <c r="E95" s="3"/>
      <c r="F95" s="7">
        <f t="shared" si="20"/>
        <v>0</v>
      </c>
      <c r="G95" s="3"/>
      <c r="H95" s="8">
        <v>0</v>
      </c>
      <c r="I95" s="3"/>
      <c r="J95" s="7">
        <f t="shared" si="21"/>
        <v>0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>
        <v>5382.14</v>
      </c>
      <c r="Q95" s="3"/>
      <c r="R95" s="7">
        <f t="shared" si="24"/>
        <v>1.0635628859493387E-3</v>
      </c>
      <c r="S95" s="3"/>
      <c r="T95" s="8">
        <v>500</v>
      </c>
      <c r="U95" s="3"/>
      <c r="V95" s="7">
        <f t="shared" si="25"/>
        <v>1.4533772563318561E-4</v>
      </c>
      <c r="W95" s="3"/>
      <c r="X95" s="8">
        <f t="shared" si="26"/>
        <v>4882.1400000000003</v>
      </c>
      <c r="Y95" s="3"/>
      <c r="Z95" s="7">
        <f t="shared" si="27"/>
        <v>9.7642800000000012</v>
      </c>
    </row>
    <row r="96" spans="1:26" s="69" customFormat="1" ht="15" customHeight="1" outlineLevel="1" collapsed="1" x14ac:dyDescent="0.25">
      <c r="A96" s="26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2">
        <f>SUM(OSRRefD22_15x_0)</f>
        <v>2584.1300000000006</v>
      </c>
      <c r="E96" s="2"/>
      <c r="F96" s="6">
        <f t="shared" si="20"/>
        <v>3.2462301625461707E-3</v>
      </c>
      <c r="G96" s="2"/>
      <c r="H96" s="2">
        <f>SUM(OSRRefH22_15x_0)</f>
        <v>3156</v>
      </c>
      <c r="I96" s="2"/>
      <c r="J96" s="6">
        <f t="shared" si="21"/>
        <v>1.1366746862979556E-2</v>
      </c>
      <c r="K96" s="2"/>
      <c r="L96" s="2">
        <f t="shared" si="22"/>
        <v>-571.86999999999944</v>
      </c>
      <c r="M96" s="2"/>
      <c r="N96" s="6">
        <f t="shared" si="23"/>
        <v>-0.18120088719898589</v>
      </c>
      <c r="O96" s="14"/>
      <c r="P96" s="2">
        <f>SUM(OSRRefP22_15x_0)</f>
        <v>72156.009999999995</v>
      </c>
      <c r="Q96" s="2"/>
      <c r="R96" s="6">
        <f t="shared" si="24"/>
        <v>1.4258725011647658E-2</v>
      </c>
      <c r="S96" s="2"/>
      <c r="T96" s="2">
        <f>SUM(OSRRefT22_15x_0)</f>
        <v>58688</v>
      </c>
      <c r="U96" s="2"/>
      <c r="V96" s="6">
        <f t="shared" si="25"/>
        <v>1.7059160883920794E-2</v>
      </c>
      <c r="W96" s="2"/>
      <c r="X96" s="2">
        <f t="shared" si="26"/>
        <v>13468.009999999995</v>
      </c>
      <c r="Y96" s="2"/>
      <c r="Z96" s="6">
        <f t="shared" si="27"/>
        <v>0.2294849032170119</v>
      </c>
    </row>
    <row r="97" spans="1:26" s="70" customFormat="1" ht="15" hidden="1" customHeight="1" outlineLevel="2" x14ac:dyDescent="0.25">
      <c r="A97" s="25"/>
      <c r="B97" s="12" t="str">
        <f>CONCATENATE("          ","6252"," - ","ROYALTY DUE CSTV")</f>
        <v xml:space="preserve">          6252 - ROYALTY DUE CSTV</v>
      </c>
      <c r="C97" s="12"/>
      <c r="D97" s="8"/>
      <c r="E97" s="3"/>
      <c r="F97" s="7">
        <f t="shared" si="20"/>
        <v>0</v>
      </c>
      <c r="G97" s="3"/>
      <c r="H97" s="8">
        <v>2156</v>
      </c>
      <c r="I97" s="3"/>
      <c r="J97" s="7">
        <f t="shared" si="21"/>
        <v>7.76511604454497E-3</v>
      </c>
      <c r="K97" s="3"/>
      <c r="L97" s="8">
        <f t="shared" si="22"/>
        <v>-2156</v>
      </c>
      <c r="M97" s="3"/>
      <c r="N97" s="7">
        <f t="shared" si="23"/>
        <v>-1</v>
      </c>
      <c r="O97" s="12"/>
      <c r="P97" s="8"/>
      <c r="Q97" s="3"/>
      <c r="R97" s="7">
        <f t="shared" si="24"/>
        <v>0</v>
      </c>
      <c r="S97" s="3"/>
      <c r="T97" s="8">
        <v>15686</v>
      </c>
      <c r="U97" s="3"/>
      <c r="V97" s="7">
        <f t="shared" si="25"/>
        <v>4.5595351285642989E-3</v>
      </c>
      <c r="W97" s="3"/>
      <c r="X97" s="8">
        <f t="shared" si="26"/>
        <v>-15686</v>
      </c>
      <c r="Y97" s="3"/>
      <c r="Z97" s="7">
        <f t="shared" si="27"/>
        <v>-1</v>
      </c>
    </row>
    <row r="98" spans="1:26" s="70" customFormat="1" ht="15" hidden="1" customHeight="1" outlineLevel="2" x14ac:dyDescent="0.25">
      <c r="A98" s="25"/>
      <c r="B98" s="12" t="str">
        <f>CONCATENATE("          ","6253"," - ","ROYALTY DUE ATHLETICS-LRG")</f>
        <v xml:space="preserve">          6253 - ROYALTY DUE ATHLETICS-LRG</v>
      </c>
      <c r="C98" s="12"/>
      <c r="D98" s="8">
        <v>-3708.97</v>
      </c>
      <c r="E98" s="3"/>
      <c r="F98" s="7">
        <f t="shared" si="20"/>
        <v>-4.6592742183941471E-3</v>
      </c>
      <c r="G98" s="3"/>
      <c r="H98" s="8">
        <v>0</v>
      </c>
      <c r="I98" s="3"/>
      <c r="J98" s="7">
        <f t="shared" si="21"/>
        <v>0</v>
      </c>
      <c r="K98" s="3"/>
      <c r="L98" s="8">
        <f t="shared" si="22"/>
        <v>-3708.97</v>
      </c>
      <c r="M98" s="3"/>
      <c r="N98" s="7">
        <f t="shared" si="23"/>
        <v>0</v>
      </c>
      <c r="O98" s="12"/>
      <c r="P98" s="8">
        <v>51456.52</v>
      </c>
      <c r="Q98" s="3"/>
      <c r="R98" s="7">
        <f t="shared" si="24"/>
        <v>1.0168305713361202E-2</v>
      </c>
      <c r="S98" s="3"/>
      <c r="T98" s="8">
        <v>38502</v>
      </c>
      <c r="U98" s="3"/>
      <c r="V98" s="7">
        <f t="shared" si="25"/>
        <v>1.1191586224657823E-2</v>
      </c>
      <c r="W98" s="3"/>
      <c r="X98" s="8">
        <f t="shared" si="26"/>
        <v>12954.519999999997</v>
      </c>
      <c r="Y98" s="3"/>
      <c r="Z98" s="7">
        <f t="shared" si="27"/>
        <v>0.33646356033452801</v>
      </c>
    </row>
    <row r="99" spans="1:26" s="70" customFormat="1" ht="15" hidden="1" customHeight="1" outlineLevel="2" x14ac:dyDescent="0.25">
      <c r="A99" s="25"/>
      <c r="B99" s="12" t="str">
        <f>CONCATENATE("          ","6254"," - ","ROYALTY &amp; COMMISSIONS")</f>
        <v xml:space="preserve">          6254 - ROYALTY &amp; COMMISSIONS</v>
      </c>
      <c r="C99" s="12"/>
      <c r="D99" s="8">
        <v>6293.1</v>
      </c>
      <c r="E99" s="3"/>
      <c r="F99" s="7">
        <f t="shared" si="20"/>
        <v>7.9055043809403182E-3</v>
      </c>
      <c r="G99" s="3"/>
      <c r="H99" s="8">
        <v>1000</v>
      </c>
      <c r="I99" s="3"/>
      <c r="J99" s="7">
        <f t="shared" si="21"/>
        <v>3.6016308184345872E-3</v>
      </c>
      <c r="K99" s="3"/>
      <c r="L99" s="8">
        <f t="shared" si="22"/>
        <v>5293.1</v>
      </c>
      <c r="M99" s="3"/>
      <c r="N99" s="7">
        <f t="shared" si="23"/>
        <v>5.2931000000000008</v>
      </c>
      <c r="O99" s="12"/>
      <c r="P99" s="8">
        <v>20699.490000000002</v>
      </c>
      <c r="Q99" s="3"/>
      <c r="R99" s="7">
        <f t="shared" si="24"/>
        <v>4.0904192982864577E-3</v>
      </c>
      <c r="S99" s="3"/>
      <c r="T99" s="8">
        <v>4500</v>
      </c>
      <c r="U99" s="3"/>
      <c r="V99" s="7">
        <f t="shared" si="25"/>
        <v>1.3080395306986703E-3</v>
      </c>
      <c r="W99" s="3"/>
      <c r="X99" s="8">
        <f t="shared" si="26"/>
        <v>16199.490000000002</v>
      </c>
      <c r="Y99" s="3"/>
      <c r="Z99" s="7">
        <f t="shared" si="27"/>
        <v>3.5998866666666669</v>
      </c>
    </row>
    <row r="100" spans="1:26" s="69" customFormat="1" ht="15" customHeight="1" outlineLevel="1" collapsed="1" x14ac:dyDescent="0.25">
      <c r="A100" s="26"/>
      <c r="B100" s="14" t="str">
        <f>CONCATENATE("     ","Services                                          ")</f>
        <v xml:space="preserve">     Services                                          </v>
      </c>
      <c r="C100" s="14"/>
      <c r="D100" s="2">
        <f>SUM(OSRRefD22_16x_0)</f>
        <v>473.53</v>
      </c>
      <c r="E100" s="2"/>
      <c r="F100" s="6">
        <f t="shared" si="20"/>
        <v>5.9485682565137501E-4</v>
      </c>
      <c r="G100" s="2"/>
      <c r="H100" s="2">
        <f>SUM(OSRRefH22_16x_0)</f>
        <v>60</v>
      </c>
      <c r="I100" s="2"/>
      <c r="J100" s="6">
        <f t="shared" si="21"/>
        <v>2.1609784910607522E-4</v>
      </c>
      <c r="K100" s="2"/>
      <c r="L100" s="2">
        <f t="shared" si="22"/>
        <v>413.53</v>
      </c>
      <c r="M100" s="2"/>
      <c r="N100" s="6">
        <f t="shared" si="23"/>
        <v>6.8921666666666663</v>
      </c>
      <c r="O100" s="14"/>
      <c r="P100" s="2">
        <f>SUM(OSRRefP22_16x_0)</f>
        <v>6511.01</v>
      </c>
      <c r="Q100" s="2"/>
      <c r="R100" s="6">
        <f t="shared" si="24"/>
        <v>1.2866385092258847E-3</v>
      </c>
      <c r="S100" s="2"/>
      <c r="T100" s="2">
        <f>SUM(OSRRefT22_16x_0)</f>
        <v>840</v>
      </c>
      <c r="U100" s="2"/>
      <c r="V100" s="6">
        <f t="shared" si="25"/>
        <v>2.4416737906375179E-4</v>
      </c>
      <c r="W100" s="2"/>
      <c r="X100" s="2">
        <f t="shared" si="26"/>
        <v>5671.01</v>
      </c>
      <c r="Y100" s="2"/>
      <c r="Z100" s="6">
        <f t="shared" si="27"/>
        <v>6.7512023809523809</v>
      </c>
    </row>
    <row r="101" spans="1:26" s="70" customFormat="1" ht="15" hidden="1" customHeight="1" outlineLevel="2" x14ac:dyDescent="0.25">
      <c r="A101" s="25"/>
      <c r="B101" s="12" t="str">
        <f>CONCATENATE("          ","6282"," - ","JANITORIAL/EXTERMINATOR EXPENS")</f>
        <v xml:space="preserve">          6282 - JANITORIAL/EXTERMINATOR EXPENS</v>
      </c>
      <c r="C101" s="12"/>
      <c r="D101" s="8">
        <v>69</v>
      </c>
      <c r="E101" s="3"/>
      <c r="F101" s="7">
        <f t="shared" si="20"/>
        <v>8.6679029776244121E-5</v>
      </c>
      <c r="G101" s="3"/>
      <c r="H101" s="8"/>
      <c r="I101" s="3"/>
      <c r="J101" s="7">
        <f t="shared" si="21"/>
        <v>0</v>
      </c>
      <c r="K101" s="3"/>
      <c r="L101" s="8">
        <f t="shared" si="22"/>
        <v>69</v>
      </c>
      <c r="M101" s="3"/>
      <c r="N101" s="7">
        <f t="shared" si="23"/>
        <v>0</v>
      </c>
      <c r="O101" s="12"/>
      <c r="P101" s="8">
        <v>974.6</v>
      </c>
      <c r="Q101" s="3"/>
      <c r="R101" s="7">
        <f t="shared" si="24"/>
        <v>1.9259038015477587E-4</v>
      </c>
      <c r="S101" s="3"/>
      <c r="T101" s="8"/>
      <c r="U101" s="3"/>
      <c r="V101" s="7">
        <f t="shared" si="25"/>
        <v>0</v>
      </c>
      <c r="W101" s="3"/>
      <c r="X101" s="8">
        <f t="shared" si="26"/>
        <v>974.6</v>
      </c>
      <c r="Y101" s="3"/>
      <c r="Z101" s="7">
        <f t="shared" si="27"/>
        <v>0</v>
      </c>
    </row>
    <row r="102" spans="1:26" s="70" customFormat="1" ht="15" hidden="1" customHeight="1" outlineLevel="2" x14ac:dyDescent="0.25">
      <c r="A102" s="25"/>
      <c r="B102" s="12" t="str">
        <f>CONCATENATE("          ","6284"," - ","TRASH REMOVAL EXPENSE")</f>
        <v xml:space="preserve">          6284 - TRASH REMOVAL EXPENSE</v>
      </c>
      <c r="C102" s="12"/>
      <c r="D102" s="8">
        <v>149.69999999999999</v>
      </c>
      <c r="E102" s="3"/>
      <c r="F102" s="7">
        <f t="shared" si="20"/>
        <v>1.8805580807976441E-4</v>
      </c>
      <c r="G102" s="3"/>
      <c r="H102" s="8">
        <v>60</v>
      </c>
      <c r="I102" s="3"/>
      <c r="J102" s="7">
        <f t="shared" si="21"/>
        <v>2.1609784910607522E-4</v>
      </c>
      <c r="K102" s="3"/>
      <c r="L102" s="8">
        <f t="shared" si="22"/>
        <v>89.699999999999989</v>
      </c>
      <c r="M102" s="3"/>
      <c r="N102" s="7">
        <f t="shared" si="23"/>
        <v>1.4949999999999999</v>
      </c>
      <c r="O102" s="12"/>
      <c r="P102" s="8">
        <v>1489.87</v>
      </c>
      <c r="Q102" s="3"/>
      <c r="R102" s="7">
        <f t="shared" si="24"/>
        <v>2.9441271258074688E-4</v>
      </c>
      <c r="S102" s="3"/>
      <c r="T102" s="8">
        <v>840</v>
      </c>
      <c r="U102" s="3"/>
      <c r="V102" s="7">
        <f t="shared" si="25"/>
        <v>2.4416737906375179E-4</v>
      </c>
      <c r="W102" s="3"/>
      <c r="X102" s="8">
        <f t="shared" si="26"/>
        <v>649.86999999999989</v>
      </c>
      <c r="Y102" s="3"/>
      <c r="Z102" s="7">
        <f t="shared" si="27"/>
        <v>0.77365476190476179</v>
      </c>
    </row>
    <row r="103" spans="1:26" s="70" customFormat="1" ht="15" hidden="1" customHeight="1" outlineLevel="2" x14ac:dyDescent="0.25">
      <c r="A103" s="25"/>
      <c r="B103" s="12" t="str">
        <f>CONCATENATE("          ","6285"," - ","JANITORIAL SERVICES")</f>
        <v xml:space="preserve">          6285 - JANITORIAL SERVICES</v>
      </c>
      <c r="C103" s="12"/>
      <c r="D103" s="8">
        <v>254.83</v>
      </c>
      <c r="E103" s="3"/>
      <c r="F103" s="7">
        <f t="shared" si="20"/>
        <v>3.2012198779536653E-4</v>
      </c>
      <c r="G103" s="3"/>
      <c r="H103" s="8"/>
      <c r="I103" s="3"/>
      <c r="J103" s="7">
        <f t="shared" si="21"/>
        <v>0</v>
      </c>
      <c r="K103" s="3"/>
      <c r="L103" s="8">
        <f t="shared" si="22"/>
        <v>254.83</v>
      </c>
      <c r="M103" s="3"/>
      <c r="N103" s="7">
        <f t="shared" si="23"/>
        <v>0</v>
      </c>
      <c r="O103" s="12"/>
      <c r="P103" s="8">
        <v>4046.54</v>
      </c>
      <c r="Q103" s="3"/>
      <c r="R103" s="7">
        <f t="shared" si="24"/>
        <v>7.9963541649036198E-4</v>
      </c>
      <c r="S103" s="3"/>
      <c r="T103" s="8"/>
      <c r="U103" s="3"/>
      <c r="V103" s="7">
        <f t="shared" si="25"/>
        <v>0</v>
      </c>
      <c r="W103" s="3"/>
      <c r="X103" s="8">
        <f t="shared" si="26"/>
        <v>4046.54</v>
      </c>
      <c r="Y103" s="3"/>
      <c r="Z103" s="7">
        <f t="shared" si="27"/>
        <v>0</v>
      </c>
    </row>
    <row r="104" spans="1:26" s="69" customFormat="1" ht="15" customHeight="1" outlineLevel="1" collapsed="1" x14ac:dyDescent="0.25">
      <c r="A104" s="26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2">
        <f>SUM(OSRRefD22_17x_0)</f>
        <v>0</v>
      </c>
      <c r="E104" s="2"/>
      <c r="F104" s="6">
        <f t="shared" si="20"/>
        <v>0</v>
      </c>
      <c r="G104" s="2"/>
      <c r="H104" s="2">
        <f>SUM(OSRRefH22_17x_0)</f>
        <v>181</v>
      </c>
      <c r="I104" s="2"/>
      <c r="J104" s="6">
        <f t="shared" si="21"/>
        <v>6.5189517813666025E-4</v>
      </c>
      <c r="K104" s="2"/>
      <c r="L104" s="2">
        <f t="shared" si="22"/>
        <v>-181</v>
      </c>
      <c r="M104" s="2"/>
      <c r="N104" s="6">
        <f t="shared" si="23"/>
        <v>-1</v>
      </c>
      <c r="O104" s="14"/>
      <c r="P104" s="2">
        <f>SUM(OSRRefP22_17x_0)</f>
        <v>170.27</v>
      </c>
      <c r="Q104" s="2"/>
      <c r="R104" s="6">
        <f t="shared" si="24"/>
        <v>3.3646997772371936E-5</v>
      </c>
      <c r="S104" s="2"/>
      <c r="T104" s="2">
        <f>SUM(OSRRefT22_17x_0)</f>
        <v>2686</v>
      </c>
      <c r="U104" s="2"/>
      <c r="V104" s="6">
        <f t="shared" si="25"/>
        <v>7.8075426210147305E-4</v>
      </c>
      <c r="W104" s="2"/>
      <c r="X104" s="2">
        <f t="shared" si="26"/>
        <v>-2515.73</v>
      </c>
      <c r="Y104" s="2"/>
      <c r="Z104" s="6">
        <f t="shared" si="27"/>
        <v>-0.93660833953834699</v>
      </c>
    </row>
    <row r="105" spans="1:26" s="70" customFormat="1" ht="15" hidden="1" customHeight="1" outlineLevel="2" x14ac:dyDescent="0.25">
      <c r="A105" s="25"/>
      <c r="B105" s="12" t="str">
        <f>CONCATENATE("          ","6258"," - ","MEMBERSHIP DUES")</f>
        <v xml:space="preserve">          6258 - MEMBERSHIP DUES</v>
      </c>
      <c r="C105" s="12"/>
      <c r="D105" s="8"/>
      <c r="E105" s="3"/>
      <c r="F105" s="7">
        <f t="shared" si="20"/>
        <v>0</v>
      </c>
      <c r="G105" s="3"/>
      <c r="H105" s="8">
        <v>0</v>
      </c>
      <c r="I105" s="3"/>
      <c r="J105" s="7">
        <f t="shared" si="21"/>
        <v>0</v>
      </c>
      <c r="K105" s="3"/>
      <c r="L105" s="8">
        <f t="shared" si="22"/>
        <v>0</v>
      </c>
      <c r="M105" s="3"/>
      <c r="N105" s="7">
        <f t="shared" si="23"/>
        <v>0</v>
      </c>
      <c r="O105" s="12"/>
      <c r="P105" s="8">
        <v>170.27</v>
      </c>
      <c r="Q105" s="3"/>
      <c r="R105" s="7">
        <f t="shared" si="24"/>
        <v>3.3646997772371936E-5</v>
      </c>
      <c r="S105" s="3"/>
      <c r="T105" s="8">
        <v>1395</v>
      </c>
      <c r="U105" s="3"/>
      <c r="V105" s="7">
        <f t="shared" si="25"/>
        <v>4.0549225451658785E-4</v>
      </c>
      <c r="W105" s="3"/>
      <c r="X105" s="8">
        <f t="shared" si="26"/>
        <v>-1224.73</v>
      </c>
      <c r="Y105" s="3"/>
      <c r="Z105" s="7">
        <f t="shared" si="27"/>
        <v>-0.87794265232974911</v>
      </c>
    </row>
    <row r="106" spans="1:26" s="70" customFormat="1" ht="15" hidden="1" customHeight="1" outlineLevel="2" x14ac:dyDescent="0.25">
      <c r="A106" s="25"/>
      <c r="B106" s="12" t="str">
        <f>CONCATENATE("          ","6275"," - ","SUBSCRIPTIONS")</f>
        <v xml:space="preserve">          6275 - SUBSCRIPTIONS</v>
      </c>
      <c r="C106" s="12"/>
      <c r="D106" s="8"/>
      <c r="E106" s="3"/>
      <c r="F106" s="7">
        <f t="shared" si="20"/>
        <v>0</v>
      </c>
      <c r="G106" s="3"/>
      <c r="H106" s="8">
        <v>181</v>
      </c>
      <c r="I106" s="3"/>
      <c r="J106" s="7">
        <f t="shared" si="21"/>
        <v>6.5189517813666025E-4</v>
      </c>
      <c r="K106" s="3"/>
      <c r="L106" s="8">
        <f t="shared" si="22"/>
        <v>-181</v>
      </c>
      <c r="M106" s="3"/>
      <c r="N106" s="7">
        <f t="shared" si="23"/>
        <v>-1</v>
      </c>
      <c r="O106" s="12"/>
      <c r="P106" s="8"/>
      <c r="Q106" s="3"/>
      <c r="R106" s="7">
        <f t="shared" si="24"/>
        <v>0</v>
      </c>
      <c r="S106" s="3"/>
      <c r="T106" s="8">
        <v>1291</v>
      </c>
      <c r="U106" s="3"/>
      <c r="V106" s="7">
        <f t="shared" si="25"/>
        <v>3.7526200758488521E-4</v>
      </c>
      <c r="W106" s="3"/>
      <c r="X106" s="8">
        <f t="shared" si="26"/>
        <v>-1291</v>
      </c>
      <c r="Y106" s="3"/>
      <c r="Z106" s="7">
        <f t="shared" si="27"/>
        <v>-1</v>
      </c>
    </row>
    <row r="107" spans="1:26" s="69" customFormat="1" ht="15" customHeight="1" outlineLevel="1" collapsed="1" x14ac:dyDescent="0.25">
      <c r="A107" s="26"/>
      <c r="B107" s="14" t="str">
        <f>CONCATENATE("     ","Supplies                                          ")</f>
        <v xml:space="preserve">     Supplies                                          </v>
      </c>
      <c r="C107" s="14"/>
      <c r="D107" s="2">
        <f>SUM(OSRRefD22_18x_0)</f>
        <v>3184.76</v>
      </c>
      <c r="E107" s="2"/>
      <c r="F107" s="6">
        <f t="shared" si="20"/>
        <v>4.0007522734810327E-3</v>
      </c>
      <c r="G107" s="2"/>
      <c r="H107" s="2">
        <f>SUM(OSRRefH22_18x_0)</f>
        <v>220</v>
      </c>
      <c r="I107" s="2"/>
      <c r="J107" s="6">
        <f t="shared" si="21"/>
        <v>7.9235878005560914E-4</v>
      </c>
      <c r="K107" s="2"/>
      <c r="L107" s="2">
        <f t="shared" si="22"/>
        <v>2964.76</v>
      </c>
      <c r="M107" s="2"/>
      <c r="N107" s="6">
        <f t="shared" si="23"/>
        <v>13.47618181818182</v>
      </c>
      <c r="O107" s="14"/>
      <c r="P107" s="2">
        <f>SUM(OSRRefP22_18x_0)</f>
        <v>15249.990000000002</v>
      </c>
      <c r="Q107" s="2"/>
      <c r="R107" s="6">
        <f t="shared" si="24"/>
        <v>3.013545425258086E-3</v>
      </c>
      <c r="S107" s="2"/>
      <c r="T107" s="2">
        <f>SUM(OSRRefT22_18x_0)</f>
        <v>2100</v>
      </c>
      <c r="U107" s="2"/>
      <c r="V107" s="6">
        <f t="shared" si="25"/>
        <v>6.1041844765937956E-4</v>
      </c>
      <c r="W107" s="2"/>
      <c r="X107" s="2">
        <f t="shared" si="26"/>
        <v>13149.990000000002</v>
      </c>
      <c r="Y107" s="2"/>
      <c r="Z107" s="6">
        <f t="shared" si="27"/>
        <v>6.2619000000000007</v>
      </c>
    </row>
    <row r="108" spans="1:26" s="70" customFormat="1" ht="15" hidden="1" customHeight="1" outlineLevel="2" x14ac:dyDescent="0.25">
      <c r="A108" s="25"/>
      <c r="B108" s="12" t="str">
        <f>CONCATENATE("          ","6234"," - ","EXPENDABLE SUPPLIES &amp; EQUIPMEN")</f>
        <v xml:space="preserve">          6234 - EXPENDABLE SUPPLIES &amp; EQUIPMEN</v>
      </c>
      <c r="C108" s="12"/>
      <c r="D108" s="8"/>
      <c r="E108" s="3"/>
      <c r="F108" s="7">
        <f t="shared" ref="F108:F122" si="28">IF(D$12=0,0,D108/D$12)</f>
        <v>0</v>
      </c>
      <c r="G108" s="3"/>
      <c r="H108" s="8"/>
      <c r="I108" s="3"/>
      <c r="J108" s="7">
        <f t="shared" ref="J108:J122" si="29">IF(H$12=0,0,H108/H$12)</f>
        <v>0</v>
      </c>
      <c r="K108" s="3"/>
      <c r="L108" s="8">
        <f t="shared" ref="L108:L122" si="30">+D108-H108</f>
        <v>0</v>
      </c>
      <c r="M108" s="3"/>
      <c r="N108" s="7">
        <f t="shared" ref="N108:N122" si="31">IF(H108=0,0,L108/H108)</f>
        <v>0</v>
      </c>
      <c r="O108" s="12"/>
      <c r="P108" s="8">
        <v>1393.55</v>
      </c>
      <c r="Q108" s="3"/>
      <c r="R108" s="7">
        <f t="shared" ref="R108:R122" si="32">IF(P$12=0,0,P108/P$12)</f>
        <v>2.7537894958412466E-4</v>
      </c>
      <c r="S108" s="3"/>
      <c r="T108" s="8"/>
      <c r="U108" s="3"/>
      <c r="V108" s="7">
        <f t="shared" ref="V108:V122" si="33">IF(T$12=0,0,T108/T$12)</f>
        <v>0</v>
      </c>
      <c r="W108" s="3"/>
      <c r="X108" s="8">
        <f t="shared" ref="X108:X122" si="34">+P108-T108</f>
        <v>1393.55</v>
      </c>
      <c r="Y108" s="3"/>
      <c r="Z108" s="7">
        <f t="shared" ref="Z108:Z122" si="35">IF(T108=0,0,X108/T108)</f>
        <v>0</v>
      </c>
    </row>
    <row r="109" spans="1:26" s="70" customFormat="1" ht="15" hidden="1" customHeight="1" outlineLevel="2" x14ac:dyDescent="0.25">
      <c r="A109" s="25"/>
      <c r="B109" s="12" t="str">
        <f>CONCATENATE("          ","6235"," - ","COVID-19 EXPENSES")</f>
        <v xml:space="preserve">          6235 - COVID-19 EXPENSES</v>
      </c>
      <c r="C109" s="12"/>
      <c r="D109" s="8"/>
      <c r="E109" s="3"/>
      <c r="F109" s="7">
        <f t="shared" si="28"/>
        <v>0</v>
      </c>
      <c r="G109" s="3"/>
      <c r="H109" s="8">
        <v>25</v>
      </c>
      <c r="I109" s="3"/>
      <c r="J109" s="7">
        <f t="shared" si="29"/>
        <v>9.0040770460864675E-5</v>
      </c>
      <c r="K109" s="3"/>
      <c r="L109" s="8">
        <f t="shared" si="30"/>
        <v>-25</v>
      </c>
      <c r="M109" s="3"/>
      <c r="N109" s="7">
        <f t="shared" si="31"/>
        <v>-1</v>
      </c>
      <c r="O109" s="12"/>
      <c r="P109" s="8"/>
      <c r="Q109" s="3"/>
      <c r="R109" s="7">
        <f t="shared" si="32"/>
        <v>0</v>
      </c>
      <c r="S109" s="3"/>
      <c r="T109" s="8">
        <v>275</v>
      </c>
      <c r="U109" s="3"/>
      <c r="V109" s="7">
        <f t="shared" si="33"/>
        <v>7.9935749098252083E-5</v>
      </c>
      <c r="W109" s="3"/>
      <c r="X109" s="8">
        <f t="shared" si="34"/>
        <v>-275</v>
      </c>
      <c r="Y109" s="3"/>
      <c r="Z109" s="7">
        <f t="shared" si="35"/>
        <v>-1</v>
      </c>
    </row>
    <row r="110" spans="1:26" s="70" customFormat="1" ht="15" hidden="1" customHeight="1" outlineLevel="2" x14ac:dyDescent="0.25">
      <c r="A110" s="25"/>
      <c r="B110" s="12" t="str">
        <f>CONCATENATE("          ","6237"," - ","JANITORIAL SUPPLIES")</f>
        <v xml:space="preserve">          6237 - JANITORIAL SUPPLIES</v>
      </c>
      <c r="C110" s="12"/>
      <c r="D110" s="8">
        <v>82.78</v>
      </c>
      <c r="E110" s="3"/>
      <c r="F110" s="7">
        <f t="shared" si="28"/>
        <v>1.0398971137503606E-4</v>
      </c>
      <c r="G110" s="3"/>
      <c r="H110" s="8">
        <v>50</v>
      </c>
      <c r="I110" s="3"/>
      <c r="J110" s="7">
        <f t="shared" si="29"/>
        <v>1.8008154092172935E-4</v>
      </c>
      <c r="K110" s="3"/>
      <c r="L110" s="8">
        <f t="shared" si="30"/>
        <v>32.78</v>
      </c>
      <c r="M110" s="3"/>
      <c r="N110" s="7">
        <f t="shared" si="31"/>
        <v>0.65560000000000007</v>
      </c>
      <c r="O110" s="12"/>
      <c r="P110" s="8">
        <v>852.79</v>
      </c>
      <c r="Q110" s="3"/>
      <c r="R110" s="7">
        <f t="shared" si="32"/>
        <v>1.6851954678041381E-4</v>
      </c>
      <c r="S110" s="3"/>
      <c r="T110" s="8">
        <v>230</v>
      </c>
      <c r="U110" s="3"/>
      <c r="V110" s="7">
        <f t="shared" si="33"/>
        <v>6.6855353791265377E-5</v>
      </c>
      <c r="W110" s="3"/>
      <c r="X110" s="8">
        <f t="shared" si="34"/>
        <v>622.79</v>
      </c>
      <c r="Y110" s="3"/>
      <c r="Z110" s="7">
        <f t="shared" si="35"/>
        <v>2.707782608695652</v>
      </c>
    </row>
    <row r="111" spans="1:26" s="70" customFormat="1" ht="15" hidden="1" customHeight="1" outlineLevel="2" x14ac:dyDescent="0.25">
      <c r="A111" s="25"/>
      <c r="B111" s="12" t="str">
        <f>CONCATENATE("          ","6241"," - ","OFFICE EXPENSE")</f>
        <v xml:space="preserve">          6241 - OFFICE EXPENSE</v>
      </c>
      <c r="C111" s="12"/>
      <c r="D111" s="8">
        <v>157.04</v>
      </c>
      <c r="E111" s="3"/>
      <c r="F111" s="7">
        <f t="shared" si="28"/>
        <v>1.9727644689944025E-4</v>
      </c>
      <c r="G111" s="3"/>
      <c r="H111" s="8">
        <v>70</v>
      </c>
      <c r="I111" s="3"/>
      <c r="J111" s="7">
        <f t="shared" si="29"/>
        <v>2.5211415729042109E-4</v>
      </c>
      <c r="K111" s="3"/>
      <c r="L111" s="8">
        <f t="shared" si="30"/>
        <v>87.039999999999992</v>
      </c>
      <c r="M111" s="3"/>
      <c r="N111" s="7">
        <f t="shared" si="31"/>
        <v>1.2434285714285713</v>
      </c>
      <c r="O111" s="12"/>
      <c r="P111" s="8">
        <v>2794.06</v>
      </c>
      <c r="Q111" s="3"/>
      <c r="R111" s="7">
        <f t="shared" si="32"/>
        <v>5.5213326244126111E-4</v>
      </c>
      <c r="S111" s="3"/>
      <c r="T111" s="8">
        <v>770</v>
      </c>
      <c r="U111" s="3"/>
      <c r="V111" s="7">
        <f t="shared" si="33"/>
        <v>2.2382009747510582E-4</v>
      </c>
      <c r="W111" s="3"/>
      <c r="X111" s="8">
        <f t="shared" si="34"/>
        <v>2024.06</v>
      </c>
      <c r="Y111" s="3"/>
      <c r="Z111" s="7">
        <f t="shared" si="35"/>
        <v>2.6286493506493507</v>
      </c>
    </row>
    <row r="112" spans="1:26" s="70" customFormat="1" ht="15" hidden="1" customHeight="1" outlineLevel="2" x14ac:dyDescent="0.25">
      <c r="A112" s="25"/>
      <c r="B112" s="12" t="str">
        <f>CONCATENATE("          ","6245"," - ","PRINTING")</f>
        <v xml:space="preserve">          6245 - PRINTING</v>
      </c>
      <c r="C112" s="12"/>
      <c r="D112" s="8"/>
      <c r="E112" s="3"/>
      <c r="F112" s="7">
        <f t="shared" si="28"/>
        <v>0</v>
      </c>
      <c r="G112" s="3"/>
      <c r="H112" s="8"/>
      <c r="I112" s="3"/>
      <c r="J112" s="7">
        <f t="shared" si="29"/>
        <v>0</v>
      </c>
      <c r="K112" s="3"/>
      <c r="L112" s="8">
        <f t="shared" si="30"/>
        <v>0</v>
      </c>
      <c r="M112" s="3"/>
      <c r="N112" s="7">
        <f t="shared" si="31"/>
        <v>0</v>
      </c>
      <c r="O112" s="12"/>
      <c r="P112" s="8">
        <v>35.549999999999997</v>
      </c>
      <c r="Q112" s="3"/>
      <c r="R112" s="7">
        <f t="shared" si="32"/>
        <v>7.025023614305645E-6</v>
      </c>
      <c r="S112" s="3"/>
      <c r="T112" s="8"/>
      <c r="U112" s="3"/>
      <c r="V112" s="7">
        <f t="shared" si="33"/>
        <v>0</v>
      </c>
      <c r="W112" s="3"/>
      <c r="X112" s="8">
        <f t="shared" si="34"/>
        <v>35.549999999999997</v>
      </c>
      <c r="Y112" s="3"/>
      <c r="Z112" s="7">
        <f t="shared" si="35"/>
        <v>0</v>
      </c>
    </row>
    <row r="113" spans="1:26" s="70" customFormat="1" ht="15" hidden="1" customHeight="1" outlineLevel="2" x14ac:dyDescent="0.25">
      <c r="A113" s="25"/>
      <c r="B113" s="12" t="str">
        <f>CONCATENATE("          ","6247"," - ","STORE SUPPLIES")</f>
        <v xml:space="preserve">          6247 - STORE SUPPLIES</v>
      </c>
      <c r="C113" s="12"/>
      <c r="D113" s="8">
        <v>2944.94</v>
      </c>
      <c r="E113" s="3"/>
      <c r="F113" s="7">
        <f t="shared" si="28"/>
        <v>3.6994861152065562E-3</v>
      </c>
      <c r="G113" s="3"/>
      <c r="H113" s="8">
        <v>75</v>
      </c>
      <c r="I113" s="3"/>
      <c r="J113" s="7">
        <f t="shared" si="29"/>
        <v>2.7012231138259405E-4</v>
      </c>
      <c r="K113" s="3"/>
      <c r="L113" s="8">
        <f t="shared" si="30"/>
        <v>2869.94</v>
      </c>
      <c r="M113" s="3"/>
      <c r="N113" s="7">
        <f t="shared" si="31"/>
        <v>38.265866666666668</v>
      </c>
      <c r="O113" s="12"/>
      <c r="P113" s="8">
        <v>10174.040000000001</v>
      </c>
      <c r="Q113" s="3"/>
      <c r="R113" s="7">
        <f t="shared" si="32"/>
        <v>2.0104886428379807E-3</v>
      </c>
      <c r="S113" s="3"/>
      <c r="T113" s="8">
        <v>825</v>
      </c>
      <c r="U113" s="3"/>
      <c r="V113" s="7">
        <f t="shared" si="33"/>
        <v>2.3980724729475624E-4</v>
      </c>
      <c r="W113" s="3"/>
      <c r="X113" s="8">
        <f t="shared" si="34"/>
        <v>9349.0400000000009</v>
      </c>
      <c r="Y113" s="3"/>
      <c r="Z113" s="7">
        <f t="shared" si="35"/>
        <v>11.332169696969698</v>
      </c>
    </row>
    <row r="114" spans="1:26" s="69" customFormat="1" ht="15" customHeight="1" outlineLevel="1" collapsed="1" x14ac:dyDescent="0.25">
      <c r="A114" s="26"/>
      <c r="B114" s="14" t="str">
        <f>CONCATENATE("     ","Telephone/Data Lines                              ")</f>
        <v xml:space="preserve">     Telephone/Data Lines                              </v>
      </c>
      <c r="C114" s="14"/>
      <c r="D114" s="2">
        <f>SUM(OSRRefD22_19x_0)</f>
        <v>662.44</v>
      </c>
      <c r="E114" s="2"/>
      <c r="F114" s="6">
        <f t="shared" si="28"/>
        <v>8.3216893456485746E-4</v>
      </c>
      <c r="G114" s="2"/>
      <c r="H114" s="2">
        <f>SUM(OSRRefH22_19x_0)</f>
        <v>610</v>
      </c>
      <c r="I114" s="2"/>
      <c r="J114" s="6">
        <f t="shared" si="29"/>
        <v>2.1969947992450983E-3</v>
      </c>
      <c r="K114" s="2"/>
      <c r="L114" s="2">
        <f t="shared" si="30"/>
        <v>52.440000000000055</v>
      </c>
      <c r="M114" s="2"/>
      <c r="N114" s="6">
        <f t="shared" si="31"/>
        <v>8.5967213114754193E-2</v>
      </c>
      <c r="O114" s="14"/>
      <c r="P114" s="2">
        <f>SUM(OSRRefP22_19x_0)</f>
        <v>6455.03</v>
      </c>
      <c r="Q114" s="2"/>
      <c r="R114" s="6">
        <f t="shared" si="32"/>
        <v>1.2755763201420919E-3</v>
      </c>
      <c r="S114" s="2"/>
      <c r="T114" s="2">
        <f>SUM(OSRRefT22_19x_0)</f>
        <v>6710</v>
      </c>
      <c r="U114" s="2"/>
      <c r="V114" s="6">
        <f t="shared" si="33"/>
        <v>1.9504322779973508E-3</v>
      </c>
      <c r="W114" s="2"/>
      <c r="X114" s="2">
        <f t="shared" si="34"/>
        <v>-254.97000000000025</v>
      </c>
      <c r="Y114" s="2"/>
      <c r="Z114" s="6">
        <f t="shared" si="35"/>
        <v>-3.7998509687034318E-2</v>
      </c>
    </row>
    <row r="115" spans="1:26" s="70" customFormat="1" ht="15" hidden="1" customHeight="1" outlineLevel="2" x14ac:dyDescent="0.25">
      <c r="A115" s="25"/>
      <c r="B115" s="12" t="str">
        <f>CONCATENATE("          ","6309"," - ","TELEPHONE")</f>
        <v xml:space="preserve">          6309 - TELEPHONE</v>
      </c>
      <c r="C115" s="12"/>
      <c r="D115" s="8">
        <v>662.44</v>
      </c>
      <c r="E115" s="3"/>
      <c r="F115" s="7">
        <f t="shared" si="28"/>
        <v>8.3216893456485746E-4</v>
      </c>
      <c r="G115" s="3"/>
      <c r="H115" s="8">
        <v>610</v>
      </c>
      <c r="I115" s="3"/>
      <c r="J115" s="7">
        <f t="shared" si="29"/>
        <v>2.1969947992450983E-3</v>
      </c>
      <c r="K115" s="3"/>
      <c r="L115" s="8">
        <f t="shared" si="30"/>
        <v>52.440000000000055</v>
      </c>
      <c r="M115" s="3"/>
      <c r="N115" s="7">
        <f t="shared" si="31"/>
        <v>8.5967213114754193E-2</v>
      </c>
      <c r="O115" s="12"/>
      <c r="P115" s="8">
        <v>6455.03</v>
      </c>
      <c r="Q115" s="3"/>
      <c r="R115" s="7">
        <f t="shared" si="32"/>
        <v>1.2755763201420919E-3</v>
      </c>
      <c r="S115" s="3"/>
      <c r="T115" s="8">
        <v>6710</v>
      </c>
      <c r="U115" s="3"/>
      <c r="V115" s="7">
        <f t="shared" si="33"/>
        <v>1.9504322779973508E-3</v>
      </c>
      <c r="W115" s="3"/>
      <c r="X115" s="8">
        <f t="shared" si="34"/>
        <v>-254.97000000000025</v>
      </c>
      <c r="Y115" s="3"/>
      <c r="Z115" s="7">
        <f t="shared" si="35"/>
        <v>-3.7998509687034318E-2</v>
      </c>
    </row>
    <row r="116" spans="1:26" s="69" customFormat="1" ht="15" customHeight="1" outlineLevel="1" collapsed="1" x14ac:dyDescent="0.25">
      <c r="A116" s="26"/>
      <c r="B116" s="14" t="str">
        <f>CONCATENATE("     ","Training                                          ")</f>
        <v xml:space="preserve">     Training                                          </v>
      </c>
      <c r="C116" s="14"/>
      <c r="D116" s="2">
        <f>SUM(OSRRefD22_20x_0)</f>
        <v>0</v>
      </c>
      <c r="E116" s="2"/>
      <c r="F116" s="6">
        <f t="shared" si="28"/>
        <v>0</v>
      </c>
      <c r="G116" s="2"/>
      <c r="H116" s="2">
        <f>SUM(OSRRefH22_20x_0)</f>
        <v>0</v>
      </c>
      <c r="I116" s="2"/>
      <c r="J116" s="6">
        <f t="shared" si="29"/>
        <v>0</v>
      </c>
      <c r="K116" s="2"/>
      <c r="L116" s="2">
        <f t="shared" si="30"/>
        <v>0</v>
      </c>
      <c r="M116" s="2"/>
      <c r="N116" s="6">
        <f t="shared" si="31"/>
        <v>0</v>
      </c>
      <c r="O116" s="14"/>
      <c r="P116" s="2">
        <f>SUM(OSRRefP22_20x_0)</f>
        <v>300</v>
      </c>
      <c r="Q116" s="2"/>
      <c r="R116" s="6">
        <f t="shared" si="32"/>
        <v>5.9282899698781817E-5</v>
      </c>
      <c r="S116" s="2"/>
      <c r="T116" s="2">
        <f>SUM(OSRRefT22_20x_0)</f>
        <v>0</v>
      </c>
      <c r="U116" s="2"/>
      <c r="V116" s="6">
        <f t="shared" si="33"/>
        <v>0</v>
      </c>
      <c r="W116" s="2"/>
      <c r="X116" s="2">
        <f t="shared" si="34"/>
        <v>300</v>
      </c>
      <c r="Y116" s="2"/>
      <c r="Z116" s="6">
        <f t="shared" si="35"/>
        <v>0</v>
      </c>
    </row>
    <row r="117" spans="1:26" s="70" customFormat="1" ht="15" hidden="1" customHeight="1" outlineLevel="2" x14ac:dyDescent="0.25">
      <c r="A117" s="25"/>
      <c r="B117" s="12" t="str">
        <f>CONCATENATE("          ","6376"," - ","TRAINING")</f>
        <v xml:space="preserve">          6376 - TRAINING</v>
      </c>
      <c r="C117" s="12"/>
      <c r="D117" s="8"/>
      <c r="E117" s="3"/>
      <c r="F117" s="7">
        <f t="shared" si="28"/>
        <v>0</v>
      </c>
      <c r="G117" s="3"/>
      <c r="H117" s="8"/>
      <c r="I117" s="3"/>
      <c r="J117" s="7">
        <f t="shared" si="29"/>
        <v>0</v>
      </c>
      <c r="K117" s="3"/>
      <c r="L117" s="8">
        <f t="shared" si="30"/>
        <v>0</v>
      </c>
      <c r="M117" s="3"/>
      <c r="N117" s="7">
        <f t="shared" si="31"/>
        <v>0</v>
      </c>
      <c r="O117" s="12"/>
      <c r="P117" s="8">
        <v>300</v>
      </c>
      <c r="Q117" s="3"/>
      <c r="R117" s="7">
        <f t="shared" si="32"/>
        <v>5.9282899698781817E-5</v>
      </c>
      <c r="S117" s="3"/>
      <c r="T117" s="8"/>
      <c r="U117" s="3"/>
      <c r="V117" s="7">
        <f t="shared" si="33"/>
        <v>0</v>
      </c>
      <c r="W117" s="3"/>
      <c r="X117" s="8">
        <f t="shared" si="34"/>
        <v>300</v>
      </c>
      <c r="Y117" s="3"/>
      <c r="Z117" s="7">
        <f t="shared" si="35"/>
        <v>0</v>
      </c>
    </row>
    <row r="118" spans="1:26" s="69" customFormat="1" ht="15" customHeight="1" outlineLevel="1" collapsed="1" x14ac:dyDescent="0.25">
      <c r="A118" s="26"/>
      <c r="B118" s="14" t="str">
        <f>CONCATENATE("     ","Travel                                            ")</f>
        <v xml:space="preserve">     Travel                                            </v>
      </c>
      <c r="C118" s="14"/>
      <c r="D118" s="2">
        <f>SUM(OSRRefD22_21x_0)</f>
        <v>187.15</v>
      </c>
      <c r="E118" s="2"/>
      <c r="F118" s="6">
        <f t="shared" si="28"/>
        <v>2.3510116554527664E-4</v>
      </c>
      <c r="G118" s="2"/>
      <c r="H118" s="2">
        <f>SUM(OSRRefH22_21x_0)</f>
        <v>50</v>
      </c>
      <c r="I118" s="2"/>
      <c r="J118" s="6">
        <f t="shared" si="29"/>
        <v>1.8008154092172935E-4</v>
      </c>
      <c r="K118" s="2"/>
      <c r="L118" s="2">
        <f t="shared" si="30"/>
        <v>137.15</v>
      </c>
      <c r="M118" s="2"/>
      <c r="N118" s="6">
        <f t="shared" si="31"/>
        <v>2.7430000000000003</v>
      </c>
      <c r="O118" s="14"/>
      <c r="P118" s="2">
        <f>SUM(OSRRefP22_21x_0)</f>
        <v>590.63</v>
      </c>
      <c r="Q118" s="2"/>
      <c r="R118" s="6">
        <f t="shared" si="32"/>
        <v>1.1671419683030502E-4</v>
      </c>
      <c r="S118" s="2"/>
      <c r="T118" s="2">
        <f>SUM(OSRRefT22_21x_0)</f>
        <v>800</v>
      </c>
      <c r="U118" s="2"/>
      <c r="V118" s="6">
        <f t="shared" si="33"/>
        <v>2.3254036101309696E-4</v>
      </c>
      <c r="W118" s="2"/>
      <c r="X118" s="2">
        <f t="shared" si="34"/>
        <v>-209.37</v>
      </c>
      <c r="Y118" s="2"/>
      <c r="Z118" s="6">
        <f t="shared" si="35"/>
        <v>-0.26171250000000001</v>
      </c>
    </row>
    <row r="119" spans="1:26" s="70" customFormat="1" ht="15" hidden="1" customHeight="1" outlineLevel="2" x14ac:dyDescent="0.25">
      <c r="A119" s="25"/>
      <c r="B119" s="12" t="str">
        <f>CONCATENATE("          ","6294"," - ","TRAVEL OPERATIONAL")</f>
        <v xml:space="preserve">          6294 - TRAVEL OPERATIONAL</v>
      </c>
      <c r="C119" s="12"/>
      <c r="D119" s="8">
        <v>187.15</v>
      </c>
      <c r="E119" s="3"/>
      <c r="F119" s="7">
        <f t="shared" si="28"/>
        <v>2.3510116554527664E-4</v>
      </c>
      <c r="G119" s="3"/>
      <c r="H119" s="8">
        <v>25</v>
      </c>
      <c r="I119" s="3"/>
      <c r="J119" s="7">
        <f t="shared" si="29"/>
        <v>9.0040770460864675E-5</v>
      </c>
      <c r="K119" s="3"/>
      <c r="L119" s="8">
        <f t="shared" si="30"/>
        <v>162.15</v>
      </c>
      <c r="M119" s="3"/>
      <c r="N119" s="7">
        <f t="shared" si="31"/>
        <v>6.4860000000000007</v>
      </c>
      <c r="O119" s="12"/>
      <c r="P119" s="8">
        <v>590.63</v>
      </c>
      <c r="Q119" s="3"/>
      <c r="R119" s="7">
        <f t="shared" si="32"/>
        <v>1.1671419683030502E-4</v>
      </c>
      <c r="S119" s="3"/>
      <c r="T119" s="8">
        <v>275</v>
      </c>
      <c r="U119" s="3"/>
      <c r="V119" s="7">
        <f t="shared" si="33"/>
        <v>7.9935749098252083E-5</v>
      </c>
      <c r="W119" s="3"/>
      <c r="X119" s="8">
        <f t="shared" si="34"/>
        <v>315.63</v>
      </c>
      <c r="Y119" s="3"/>
      <c r="Z119" s="7">
        <f t="shared" si="35"/>
        <v>1.1477454545454546</v>
      </c>
    </row>
    <row r="120" spans="1:26" s="70" customFormat="1" ht="15" hidden="1" customHeight="1" outlineLevel="2" x14ac:dyDescent="0.25">
      <c r="A120" s="25"/>
      <c r="B120" s="12" t="str">
        <f>CONCATENATE("          ","6298"," - ","VEHICLE MILEAGE")</f>
        <v xml:space="preserve">          6298 - VEHICLE MILEAGE</v>
      </c>
      <c r="C120" s="12"/>
      <c r="D120" s="8"/>
      <c r="E120" s="3"/>
      <c r="F120" s="7">
        <f t="shared" si="28"/>
        <v>0</v>
      </c>
      <c r="G120" s="3"/>
      <c r="H120" s="8">
        <v>25</v>
      </c>
      <c r="I120" s="3"/>
      <c r="J120" s="7">
        <f t="shared" si="29"/>
        <v>9.0040770460864675E-5</v>
      </c>
      <c r="K120" s="3"/>
      <c r="L120" s="8">
        <f t="shared" si="30"/>
        <v>-25</v>
      </c>
      <c r="M120" s="3"/>
      <c r="N120" s="7">
        <f t="shared" si="31"/>
        <v>-1</v>
      </c>
      <c r="O120" s="12"/>
      <c r="P120" s="8"/>
      <c r="Q120" s="3"/>
      <c r="R120" s="7">
        <f t="shared" si="32"/>
        <v>0</v>
      </c>
      <c r="S120" s="3"/>
      <c r="T120" s="8">
        <v>525</v>
      </c>
      <c r="U120" s="3"/>
      <c r="V120" s="7">
        <f t="shared" si="33"/>
        <v>1.5260461191484489E-4</v>
      </c>
      <c r="W120" s="3"/>
      <c r="X120" s="8">
        <f t="shared" si="34"/>
        <v>-525</v>
      </c>
      <c r="Y120" s="3"/>
      <c r="Z120" s="7">
        <f t="shared" si="35"/>
        <v>-1</v>
      </c>
    </row>
    <row r="121" spans="1:26" s="69" customFormat="1" ht="15" customHeight="1" outlineLevel="1" collapsed="1" x14ac:dyDescent="0.25">
      <c r="A121" s="26"/>
      <c r="B121" s="14" t="str">
        <f>CONCATENATE("     ","Utilities                                         ")</f>
        <v xml:space="preserve">     Utilities                                         </v>
      </c>
      <c r="C121" s="14"/>
      <c r="D121" s="2">
        <f>SUM(OSRRefD22_22x_0)</f>
        <v>16.670000000000002</v>
      </c>
      <c r="E121" s="2"/>
      <c r="F121" s="6">
        <f t="shared" si="28"/>
        <v>2.0941151106811446E-5</v>
      </c>
      <c r="G121" s="2"/>
      <c r="H121" s="2">
        <f>SUM(OSRRefH22_22x_0)</f>
        <v>120</v>
      </c>
      <c r="I121" s="2"/>
      <c r="J121" s="6">
        <f t="shared" si="29"/>
        <v>4.3219569821215044E-4</v>
      </c>
      <c r="K121" s="2"/>
      <c r="L121" s="2">
        <f t="shared" si="30"/>
        <v>-103.33</v>
      </c>
      <c r="M121" s="2"/>
      <c r="N121" s="6">
        <f t="shared" si="31"/>
        <v>-0.86108333333333331</v>
      </c>
      <c r="O121" s="14"/>
      <c r="P121" s="2">
        <f>SUM(OSRRefP22_22x_0)</f>
        <v>1303.8900000000001</v>
      </c>
      <c r="Q121" s="2"/>
      <c r="R121" s="6">
        <f t="shared" si="32"/>
        <v>2.5766126696081544E-4</v>
      </c>
      <c r="S121" s="2"/>
      <c r="T121" s="2">
        <f>SUM(OSRRefT22_22x_0)</f>
        <v>4000</v>
      </c>
      <c r="U121" s="2"/>
      <c r="V121" s="6">
        <f t="shared" si="33"/>
        <v>1.1627018050654849E-3</v>
      </c>
      <c r="W121" s="2"/>
      <c r="X121" s="2">
        <f t="shared" si="34"/>
        <v>-2696.1099999999997</v>
      </c>
      <c r="Y121" s="2"/>
      <c r="Z121" s="6">
        <f t="shared" si="35"/>
        <v>-0.67402749999999989</v>
      </c>
    </row>
    <row r="122" spans="1:26" s="70" customFormat="1" ht="15" hidden="1" customHeight="1" outlineLevel="2" x14ac:dyDescent="0.25">
      <c r="A122" s="25"/>
      <c r="B122" s="12" t="str">
        <f>CONCATENATE("          ","6274"," - ","UTILITIES")</f>
        <v xml:space="preserve">          6274 - UTILITIES</v>
      </c>
      <c r="C122" s="12"/>
      <c r="D122" s="8">
        <v>16.670000000000002</v>
      </c>
      <c r="E122" s="3"/>
      <c r="F122" s="7">
        <f t="shared" si="28"/>
        <v>2.0941151106811446E-5</v>
      </c>
      <c r="G122" s="3"/>
      <c r="H122" s="8">
        <v>120</v>
      </c>
      <c r="I122" s="3"/>
      <c r="J122" s="7">
        <f t="shared" si="29"/>
        <v>4.3219569821215044E-4</v>
      </c>
      <c r="K122" s="3"/>
      <c r="L122" s="8">
        <f t="shared" si="30"/>
        <v>-103.33</v>
      </c>
      <c r="M122" s="3"/>
      <c r="N122" s="7">
        <f t="shared" si="31"/>
        <v>-0.86108333333333331</v>
      </c>
      <c r="O122" s="12"/>
      <c r="P122" s="8">
        <v>1303.8900000000001</v>
      </c>
      <c r="Q122" s="3"/>
      <c r="R122" s="7">
        <f t="shared" si="32"/>
        <v>2.5766126696081544E-4</v>
      </c>
      <c r="S122" s="3"/>
      <c r="T122" s="8">
        <v>4000</v>
      </c>
      <c r="U122" s="3"/>
      <c r="V122" s="7">
        <f t="shared" si="33"/>
        <v>1.1627018050654849E-3</v>
      </c>
      <c r="W122" s="3"/>
      <c r="X122" s="8">
        <f t="shared" si="34"/>
        <v>-2696.1099999999997</v>
      </c>
      <c r="Y122" s="3"/>
      <c r="Z122" s="7">
        <f t="shared" si="35"/>
        <v>-0.67402749999999989</v>
      </c>
    </row>
    <row r="123" spans="1:26" s="65" customFormat="1" ht="15" customHeight="1" x14ac:dyDescent="0.25">
      <c r="A123" s="35"/>
      <c r="B123" s="35"/>
      <c r="C123" s="35"/>
      <c r="D123" s="2"/>
      <c r="E123" s="2"/>
      <c r="F123" s="6"/>
      <c r="G123" s="2"/>
      <c r="H123" s="2"/>
      <c r="I123" s="2"/>
      <c r="J123" s="6"/>
      <c r="K123" s="2"/>
      <c r="L123" s="2"/>
      <c r="M123" s="2"/>
      <c r="N123" s="6"/>
      <c r="O123" s="35"/>
      <c r="P123" s="2"/>
      <c r="Q123" s="2"/>
      <c r="R123" s="6"/>
      <c r="S123" s="2"/>
      <c r="T123" s="2"/>
      <c r="U123" s="2"/>
      <c r="V123" s="6"/>
      <c r="W123" s="2"/>
      <c r="X123" s="2"/>
      <c r="Y123" s="2"/>
      <c r="Z123" s="6"/>
    </row>
    <row r="124" spans="1:26" s="63" customFormat="1" ht="15" customHeight="1" collapsed="1" x14ac:dyDescent="0.25">
      <c r="A124" s="11"/>
      <c r="B124" s="27" t="s">
        <v>291</v>
      </c>
      <c r="C124" s="11"/>
      <c r="D124" s="5">
        <f>SUM(OSRRefD25x_0)</f>
        <v>384795</v>
      </c>
      <c r="E124" s="5"/>
      <c r="F124" s="13">
        <f>IF(D$12=0,0,D124/D$12)</f>
        <v>0.4833863371413023</v>
      </c>
      <c r="G124" s="5"/>
      <c r="H124" s="5">
        <f>SUM(OSRRefH25x_0)</f>
        <v>250000</v>
      </c>
      <c r="I124" s="5"/>
      <c r="J124" s="13">
        <f>IF(H$12=0,0,H124/H$12)</f>
        <v>0.90040770460864683</v>
      </c>
      <c r="K124" s="5"/>
      <c r="L124" s="5">
        <f>+D124-H124</f>
        <v>134795</v>
      </c>
      <c r="M124" s="5"/>
      <c r="N124" s="13">
        <f>IF(H124=0,0,L124/H124)</f>
        <v>0.53917999999999999</v>
      </c>
      <c r="O124" s="11"/>
      <c r="P124" s="5">
        <f>SUM(OSRRefP25x_0)</f>
        <v>752375.02999999991</v>
      </c>
      <c r="Q124" s="5"/>
      <c r="R124" s="13">
        <f>IF(P$12=0,0,P124/P$12)</f>
        <v>0.1486765781311932</v>
      </c>
      <c r="S124" s="5"/>
      <c r="T124" s="5">
        <f>SUM(OSRRefT25x_0)</f>
        <v>443672</v>
      </c>
      <c r="U124" s="5"/>
      <c r="V124" s="13">
        <f>IF(T$12=0,0,T124/T$12)</f>
        <v>0.12896455881425345</v>
      </c>
      <c r="W124" s="5"/>
      <c r="X124" s="5">
        <f>+P124-T124</f>
        <v>308703.02999999991</v>
      </c>
      <c r="Y124" s="5"/>
      <c r="Z124" s="13">
        <f>IF(T124=0,0,X124/T124)</f>
        <v>0.69579110243603359</v>
      </c>
    </row>
    <row r="125" spans="1:26" s="70" customFormat="1" ht="15" hidden="1" customHeight="1" outlineLevel="1" x14ac:dyDescent="0.25">
      <c r="A125" s="42"/>
      <c r="B125" s="12" t="str">
        <f>CONCATENATE("          ","9150"," - ","MISC. INCOME")</f>
        <v xml:space="preserve">          9150 - MISC. INCOME</v>
      </c>
      <c r="C125" s="12"/>
      <c r="D125" s="3">
        <f>--145</f>
        <v>145</v>
      </c>
      <c r="E125" s="3"/>
      <c r="F125" s="20">
        <f>IF(D$12=0,0,D125/D$12)</f>
        <v>1.8215158431239708E-4</v>
      </c>
      <c r="G125" s="3"/>
      <c r="H125" s="3">
        <v>0</v>
      </c>
      <c r="I125" s="3"/>
      <c r="J125" s="20">
        <f>IF(H$12=0,0,H125/H$12)</f>
        <v>0</v>
      </c>
      <c r="K125" s="3"/>
      <c r="L125" s="3">
        <f>+D125-H125</f>
        <v>145</v>
      </c>
      <c r="M125" s="3"/>
      <c r="N125" s="20">
        <f>IF(H125=0,0,L125/H125)</f>
        <v>0</v>
      </c>
      <c r="O125" s="12"/>
      <c r="P125" s="3">
        <f>--110905.33</f>
        <v>110905.33</v>
      </c>
      <c r="Q125" s="3"/>
      <c r="R125" s="20">
        <f>IF(P$12=0,0,P125/P$12)</f>
        <v>2.1915965181500994E-2</v>
      </c>
      <c r="S125" s="3"/>
      <c r="T125" s="3">
        <v>77006</v>
      </c>
      <c r="U125" s="3"/>
      <c r="V125" s="20">
        <f>IF(T$12=0,0,T125/T$12)</f>
        <v>2.2383753800218183E-2</v>
      </c>
      <c r="W125" s="3"/>
      <c r="X125" s="3">
        <f>+P125-T125</f>
        <v>33899.33</v>
      </c>
      <c r="Y125" s="3"/>
      <c r="Z125" s="20">
        <f>IF(T125=0,0,X125/T125)</f>
        <v>0.44021673635820585</v>
      </c>
    </row>
    <row r="126" spans="1:26" s="70" customFormat="1" ht="15" hidden="1" customHeight="1" outlineLevel="1" x14ac:dyDescent="0.25">
      <c r="A126" s="42"/>
      <c r="B126" s="12" t="str">
        <f>CONCATENATE("          ","9151"," - ","MISC. INCOME")</f>
        <v xml:space="preserve">          9151 - MISC. INCOME</v>
      </c>
      <c r="C126" s="12"/>
      <c r="D126" s="3">
        <f>0</f>
        <v>0</v>
      </c>
      <c r="E126" s="3"/>
      <c r="F126" s="20">
        <f>IF(D$12=0,0,D126/D$12)</f>
        <v>0</v>
      </c>
      <c r="G126" s="3"/>
      <c r="H126" s="3">
        <v>250000</v>
      </c>
      <c r="I126" s="3"/>
      <c r="J126" s="20">
        <f>IF(H$12=0,0,H126/H$12)</f>
        <v>0.90040770460864683</v>
      </c>
      <c r="K126" s="3"/>
      <c r="L126" s="3">
        <f>+D126-H126</f>
        <v>-250000</v>
      </c>
      <c r="M126" s="3"/>
      <c r="N126" s="20">
        <f>IF(H126=0,0,L126/H126)</f>
        <v>-1</v>
      </c>
      <c r="O126" s="12"/>
      <c r="P126" s="3">
        <f>0</f>
        <v>0</v>
      </c>
      <c r="Q126" s="3"/>
      <c r="R126" s="20">
        <f>IF(P$12=0,0,P126/P$12)</f>
        <v>0</v>
      </c>
      <c r="S126" s="3"/>
      <c r="T126" s="3">
        <v>250000</v>
      </c>
      <c r="U126" s="3"/>
      <c r="V126" s="20">
        <f>IF(T$12=0,0,T126/T$12)</f>
        <v>7.2668862816592808E-2</v>
      </c>
      <c r="W126" s="3"/>
      <c r="X126" s="3">
        <f>+P126-T126</f>
        <v>-250000</v>
      </c>
      <c r="Y126" s="3"/>
      <c r="Z126" s="20">
        <f>IF(T126=0,0,X126/T126)</f>
        <v>-1</v>
      </c>
    </row>
    <row r="127" spans="1:26" s="70" customFormat="1" ht="15" hidden="1" customHeight="1" outlineLevel="1" x14ac:dyDescent="0.25">
      <c r="A127" s="42"/>
      <c r="B127" s="12" t="str">
        <f>CONCATENATE("          ","9160"," - ","MISC. INCOME")</f>
        <v xml:space="preserve">          9160 - MISC. INCOME</v>
      </c>
      <c r="C127" s="12"/>
      <c r="D127" s="3">
        <f>0</f>
        <v>0</v>
      </c>
      <c r="E127" s="3"/>
      <c r="F127" s="20">
        <f>IF(D$12=0,0,D127/D$12)</f>
        <v>0</v>
      </c>
      <c r="G127" s="3"/>
      <c r="H127" s="3"/>
      <c r="I127" s="3"/>
      <c r="J127" s="20">
        <f>IF(H$12=0,0,H127/H$12)</f>
        <v>0</v>
      </c>
      <c r="K127" s="3"/>
      <c r="L127" s="3">
        <f>+D127-H127</f>
        <v>0</v>
      </c>
      <c r="M127" s="3"/>
      <c r="N127" s="20">
        <f>IF(H127=0,0,L127/H127)</f>
        <v>0</v>
      </c>
      <c r="O127" s="12"/>
      <c r="P127" s="3">
        <f>0</f>
        <v>0</v>
      </c>
      <c r="Q127" s="3"/>
      <c r="R127" s="20">
        <f>IF(P$12=0,0,P127/P$12)</f>
        <v>0</v>
      </c>
      <c r="S127" s="3"/>
      <c r="T127" s="3">
        <v>116666</v>
      </c>
      <c r="U127" s="3"/>
      <c r="V127" s="20">
        <f>IF(T$12=0,0,T127/T$12)</f>
        <v>3.3911942197442466E-2</v>
      </c>
      <c r="W127" s="3"/>
      <c r="X127" s="3">
        <f>+P127-T127</f>
        <v>-116666</v>
      </c>
      <c r="Y127" s="3"/>
      <c r="Z127" s="20">
        <f>IF(T127=0,0,X127/T127)</f>
        <v>-1</v>
      </c>
    </row>
    <row r="128" spans="1:26" s="70" customFormat="1" ht="15" hidden="1" customHeight="1" outlineLevel="1" x14ac:dyDescent="0.25">
      <c r="A128" s="42"/>
      <c r="B128" s="12" t="str">
        <f>CONCATENATE("          ","9163"," - ","MISC. INCOME")</f>
        <v xml:space="preserve">          9163 - MISC. INCOME</v>
      </c>
      <c r="C128" s="12"/>
      <c r="D128" s="3">
        <f>--384650</f>
        <v>384650</v>
      </c>
      <c r="E128" s="3"/>
      <c r="F128" s="20">
        <f>IF(D$12=0,0,D128/D$12)</f>
        <v>0.48320418555698991</v>
      </c>
      <c r="G128" s="3"/>
      <c r="H128" s="3"/>
      <c r="I128" s="3"/>
      <c r="J128" s="20">
        <f>IF(H$12=0,0,H128/H$12)</f>
        <v>0</v>
      </c>
      <c r="K128" s="3"/>
      <c r="L128" s="3">
        <f>+D128-H128</f>
        <v>384650</v>
      </c>
      <c r="M128" s="3"/>
      <c r="N128" s="20">
        <f>IF(H128=0,0,L128/H128)</f>
        <v>0</v>
      </c>
      <c r="O128" s="12"/>
      <c r="P128" s="3">
        <f>--641469.7</f>
        <v>641469.69999999995</v>
      </c>
      <c r="Q128" s="3"/>
      <c r="R128" s="20">
        <f>IF(P$12=0,0,P128/P$12)</f>
        <v>0.12676061294969221</v>
      </c>
      <c r="S128" s="3"/>
      <c r="T128" s="3"/>
      <c r="U128" s="3"/>
      <c r="V128" s="20">
        <f>IF(T$12=0,0,T128/T$12)</f>
        <v>0</v>
      </c>
      <c r="W128" s="3"/>
      <c r="X128" s="3">
        <f>+P128-T128</f>
        <v>641469.69999999995</v>
      </c>
      <c r="Y128" s="3"/>
      <c r="Z128" s="20">
        <f>IF(T128=0,0,X128/T128)</f>
        <v>0</v>
      </c>
    </row>
    <row r="129" spans="1:26" ht="15" customHeight="1" x14ac:dyDescent="0.25">
      <c r="A129" s="10"/>
      <c r="B129" s="11"/>
      <c r="C129" s="11"/>
      <c r="D129" s="4"/>
      <c r="E129" s="4"/>
      <c r="F129" s="9"/>
      <c r="G129" s="4"/>
      <c r="H129" s="4"/>
      <c r="I129" s="4"/>
      <c r="J129" s="9"/>
      <c r="K129" s="4"/>
      <c r="L129" s="4"/>
      <c r="M129" s="4"/>
      <c r="N129" s="9"/>
      <c r="O129" s="11"/>
      <c r="P129" s="4"/>
      <c r="Q129" s="4"/>
      <c r="R129" s="9"/>
      <c r="S129" s="4"/>
      <c r="T129" s="4"/>
      <c r="U129" s="4"/>
      <c r="V129" s="9"/>
      <c r="W129" s="4"/>
      <c r="X129" s="4"/>
      <c r="Y129" s="4"/>
      <c r="Z129" s="9"/>
    </row>
    <row r="130" spans="1:26" s="63" customFormat="1" ht="15" customHeight="1" x14ac:dyDescent="0.25">
      <c r="A130" s="11"/>
      <c r="B130" s="28" t="s">
        <v>292</v>
      </c>
      <c r="C130" s="28"/>
      <c r="D130" s="22">
        <f>+D42-D44+D124</f>
        <v>714127.89999999991</v>
      </c>
      <c r="E130" s="15"/>
      <c r="F130" s="21">
        <f>IF(D$12=0,0,D130/D$12)</f>
        <v>0.89710019577024169</v>
      </c>
      <c r="G130" s="15"/>
      <c r="H130" s="22">
        <f>+H42-H44+H124</f>
        <v>277077.0485661077</v>
      </c>
      <c r="I130" s="15"/>
      <c r="J130" s="21">
        <f>IF(H$12=0,0,H130/H$12)</f>
        <v>0.99792923719659032</v>
      </c>
      <c r="K130" s="16"/>
      <c r="L130" s="22">
        <f>+D130-H130</f>
        <v>437050.85143389221</v>
      </c>
      <c r="M130" s="16"/>
      <c r="N130" s="21">
        <f>IF(H130=0,0,L130/H130)</f>
        <v>1.5773621586329856</v>
      </c>
      <c r="O130" s="27"/>
      <c r="P130" s="22">
        <f>+P42-P44+P124</f>
        <v>2227773.2499999986</v>
      </c>
      <c r="Q130" s="15"/>
      <c r="R130" s="21">
        <f>IF(P$12=0,0,P130/P$12)</f>
        <v>0.44022952710459706</v>
      </c>
      <c r="S130" s="15"/>
      <c r="T130" s="22">
        <f>+T42-T44+T124</f>
        <v>790839.74463109253</v>
      </c>
      <c r="U130" s="15"/>
      <c r="V130" s="21">
        <f>IF(T$12=0,0,T130/T$12)</f>
        <v>0.22987769965002458</v>
      </c>
      <c r="W130" s="16"/>
      <c r="X130" s="22">
        <f>+P130-T130</f>
        <v>1436933.5053689061</v>
      </c>
      <c r="Y130" s="16"/>
      <c r="Z130" s="21">
        <f>IF(T130=0,0,X130/T130)</f>
        <v>1.8169717886892502</v>
      </c>
    </row>
    <row r="131" spans="1:26" ht="15" customHeight="1" x14ac:dyDescent="0.25">
      <c r="A131" s="10"/>
      <c r="B131" s="11"/>
      <c r="C131" s="10"/>
      <c r="D131" s="4"/>
      <c r="E131" s="4"/>
      <c r="F131" s="9"/>
      <c r="G131" s="4"/>
      <c r="H131" s="4"/>
      <c r="I131" s="4"/>
      <c r="J131" s="9"/>
      <c r="K131" s="4"/>
      <c r="L131" s="4"/>
      <c r="M131" s="4"/>
      <c r="N131" s="9"/>
      <c r="P131" s="4"/>
      <c r="Q131" s="4"/>
      <c r="R131" s="9"/>
      <c r="S131" s="4"/>
      <c r="T131" s="4"/>
      <c r="U131" s="4"/>
      <c r="V131" s="9"/>
      <c r="W131" s="4"/>
      <c r="X131" s="4"/>
      <c r="Y131" s="4"/>
      <c r="Z131" s="9"/>
    </row>
    <row r="132" spans="1:26" s="63" customFormat="1" ht="15" customHeight="1" x14ac:dyDescent="0.25">
      <c r="A132" s="49"/>
      <c r="B132" s="11" t="s">
        <v>293</v>
      </c>
      <c r="C132" s="11"/>
      <c r="D132" s="5">
        <v>85833.98</v>
      </c>
      <c r="E132" s="5"/>
      <c r="F132" s="13">
        <f>IF(D$12=0,0,D132/D$12)</f>
        <v>0.10782617548164554</v>
      </c>
      <c r="G132" s="5"/>
      <c r="H132" s="5">
        <v>37416</v>
      </c>
      <c r="I132" s="5"/>
      <c r="J132" s="13">
        <f>IF(H$12=0,0,H132/H$12)</f>
        <v>0.13475861870254852</v>
      </c>
      <c r="K132" s="5"/>
      <c r="L132" s="5">
        <f>+D132-H132</f>
        <v>48417.979999999996</v>
      </c>
      <c r="M132" s="5"/>
      <c r="N132" s="13">
        <f>IF(H132=0,0,L132/H132)</f>
        <v>1.2940447936711565</v>
      </c>
      <c r="O132" s="11"/>
      <c r="P132" s="5">
        <v>568926.39</v>
      </c>
      <c r="Q132" s="5"/>
      <c r="R132" s="13">
        <f>IF(P$12=0,0,P132/P$12)</f>
        <v>0.11242535371453342</v>
      </c>
      <c r="S132" s="5"/>
      <c r="T132" s="5">
        <v>426464</v>
      </c>
      <c r="U132" s="5"/>
      <c r="V132" s="13">
        <f>IF(T$12=0,0,T132/T$12)</f>
        <v>0.12396261564886173</v>
      </c>
      <c r="W132" s="5"/>
      <c r="X132" s="5">
        <f>+P132-T132</f>
        <v>142462.39000000001</v>
      </c>
      <c r="Y132" s="5"/>
      <c r="Z132" s="13">
        <f>IF(T132=0,0,X132/T132)</f>
        <v>0.33405490264125465</v>
      </c>
    </row>
    <row r="133" spans="1:26" ht="15" customHeight="1" x14ac:dyDescent="0.25">
      <c r="A133" s="10"/>
      <c r="B133" s="11"/>
      <c r="C133" s="11"/>
      <c r="D133" s="4"/>
      <c r="E133" s="4"/>
      <c r="F133" s="9"/>
      <c r="G133" s="4"/>
      <c r="H133" s="4"/>
      <c r="I133" s="4"/>
      <c r="J133" s="9"/>
      <c r="K133" s="4"/>
      <c r="L133" s="4"/>
      <c r="M133" s="4"/>
      <c r="N133" s="9"/>
      <c r="O133" s="11"/>
      <c r="P133" s="4"/>
      <c r="Q133" s="4"/>
      <c r="R133" s="9"/>
      <c r="S133" s="4"/>
      <c r="T133" s="4"/>
      <c r="U133" s="4"/>
      <c r="V133" s="9"/>
      <c r="W133" s="4"/>
      <c r="X133" s="4"/>
      <c r="Y133" s="4"/>
      <c r="Z133" s="9"/>
    </row>
    <row r="134" spans="1:26" s="63" customFormat="1" ht="15" customHeight="1" x14ac:dyDescent="0.25">
      <c r="A134" s="11"/>
      <c r="B134" s="28" t="s">
        <v>294</v>
      </c>
      <c r="C134" s="28"/>
      <c r="D134" s="34">
        <f>+D130-D132</f>
        <v>628293.91999999993</v>
      </c>
      <c r="E134" s="15"/>
      <c r="F134" s="32">
        <f>IF(D$12=0,0,D134/D$12)</f>
        <v>0.78927402028859617</v>
      </c>
      <c r="G134" s="15"/>
      <c r="H134" s="34">
        <f>+H130-H132</f>
        <v>239661.0485661077</v>
      </c>
      <c r="I134" s="15"/>
      <c r="J134" s="32">
        <f>IF(H$12=0,0,H134/H$12)</f>
        <v>0.86317061849404186</v>
      </c>
      <c r="K134" s="16"/>
      <c r="L134" s="34">
        <f>D134-H134</f>
        <v>388632.87143389223</v>
      </c>
      <c r="M134" s="16"/>
      <c r="N134" s="32">
        <f>IF(H134=0,0,L134/H134)</f>
        <v>1.6215938040790654</v>
      </c>
      <c r="O134" s="27"/>
      <c r="P134" s="34">
        <f>+P130-P132</f>
        <v>1658846.8599999985</v>
      </c>
      <c r="Q134" s="15"/>
      <c r="R134" s="32">
        <f>IF(P$12=0,0,P134/P$12)</f>
        <v>0.32780417339006357</v>
      </c>
      <c r="S134" s="15"/>
      <c r="T134" s="34">
        <f>+T130-T132</f>
        <v>364375.74463109253</v>
      </c>
      <c r="U134" s="15"/>
      <c r="V134" s="32">
        <f>IF(T$12=0,0,T134/T$12)</f>
        <v>0.10591508400116285</v>
      </c>
      <c r="W134" s="16"/>
      <c r="X134" s="34">
        <f>P134-T134</f>
        <v>1294471.1153689059</v>
      </c>
      <c r="Y134" s="16"/>
      <c r="Z134" s="32">
        <f>IF(T134=0,0,X134/T134)</f>
        <v>3.5525721303965399</v>
      </c>
    </row>
    <row r="135" spans="1:26" ht="15" customHeight="1" x14ac:dyDescent="0.25">
      <c r="A135" s="10"/>
      <c r="B135" s="10"/>
      <c r="C135" s="10"/>
      <c r="D135" s="4"/>
      <c r="E135" s="4"/>
      <c r="F135" s="9"/>
      <c r="G135" s="4"/>
      <c r="H135" s="4"/>
      <c r="I135" s="4"/>
      <c r="J135" s="9"/>
      <c r="K135" s="4"/>
      <c r="L135" s="4"/>
      <c r="M135" s="4"/>
      <c r="N135" s="9"/>
      <c r="P135" s="4"/>
      <c r="Q135" s="4"/>
      <c r="R135" s="9"/>
      <c r="S135" s="4"/>
      <c r="T135" s="4"/>
      <c r="U135" s="4"/>
      <c r="V135" s="9"/>
      <c r="W135" s="4"/>
      <c r="X135" s="4"/>
      <c r="Y135" s="4"/>
      <c r="Z135" s="9"/>
    </row>
    <row r="136" spans="1:26" ht="15" customHeight="1" x14ac:dyDescent="0.25">
      <c r="A136" s="10"/>
      <c r="B136" s="10"/>
      <c r="C136" s="10"/>
      <c r="D136" s="4"/>
      <c r="E136" s="4"/>
      <c r="F136" s="9"/>
      <c r="G136" s="4"/>
      <c r="H136" s="4"/>
      <c r="I136" s="4"/>
      <c r="J136" s="9"/>
      <c r="K136" s="4"/>
      <c r="L136" s="4"/>
      <c r="M136" s="4"/>
      <c r="N136" s="9"/>
      <c r="P136" s="4"/>
      <c r="Q136" s="4"/>
      <c r="R136" s="9"/>
      <c r="S136" s="4"/>
      <c r="T136" s="4"/>
      <c r="U136" s="4"/>
      <c r="V136" s="9"/>
      <c r="W136" s="4"/>
      <c r="X136" s="4"/>
      <c r="Y136" s="4"/>
      <c r="Z136" s="9"/>
    </row>
    <row r="137" spans="1:26" s="63" customFormat="1" ht="15" customHeight="1" x14ac:dyDescent="0.25">
      <c r="A137" s="11"/>
      <c r="B137" s="28" t="s">
        <v>297</v>
      </c>
      <c r="C137" s="28"/>
      <c r="D137" s="30">
        <f>SUM(D134:D136)</f>
        <v>628293.91999999993</v>
      </c>
      <c r="E137" s="15"/>
      <c r="F137" s="33">
        <f>IF(D$12=0,0,D137/D$12)</f>
        <v>0.78927402028859617</v>
      </c>
      <c r="G137" s="15"/>
      <c r="H137" s="30">
        <f>SUM(H134:H136)</f>
        <v>239661.0485661077</v>
      </c>
      <c r="I137" s="15"/>
      <c r="J137" s="33">
        <f>IF(H$12=0,0,H137/H$12)</f>
        <v>0.86317061849404186</v>
      </c>
      <c r="K137" s="16"/>
      <c r="L137" s="30">
        <f>+D137-H137</f>
        <v>388632.87143389223</v>
      </c>
      <c r="M137" s="16"/>
      <c r="N137" s="33">
        <f>IF(H137=0,0,L137/H137)</f>
        <v>1.6215938040790654</v>
      </c>
      <c r="O137" s="27"/>
      <c r="P137" s="30">
        <f>SUM(P134:P136)</f>
        <v>1658846.8599999985</v>
      </c>
      <c r="Q137" s="15"/>
      <c r="R137" s="33">
        <f>IF(P$12=0,0,P137/P$12)</f>
        <v>0.32780417339006357</v>
      </c>
      <c r="S137" s="15"/>
      <c r="T137" s="30">
        <f>SUM(T134:T136)</f>
        <v>364375.74463109253</v>
      </c>
      <c r="U137" s="15"/>
      <c r="V137" s="33">
        <f>IF(T$12=0,0,T137/T$12)</f>
        <v>0.10591508400116285</v>
      </c>
      <c r="W137" s="16"/>
      <c r="X137" s="30">
        <f>+P137-T137</f>
        <v>1294471.1153689059</v>
      </c>
      <c r="Y137" s="16"/>
      <c r="Z137" s="33">
        <f>IF(T137=0,0,X137/T137)</f>
        <v>3.5525721303965399</v>
      </c>
    </row>
    <row r="138" spans="1:26" ht="15" customHeight="1" x14ac:dyDescent="0.25">
      <c r="A138" s="10"/>
      <c r="C138" s="10"/>
      <c r="D138" s="18"/>
      <c r="E138" s="18"/>
      <c r="G138" s="18"/>
      <c r="H138" s="18"/>
      <c r="I138" s="18"/>
      <c r="J138" s="40"/>
      <c r="K138" s="18"/>
      <c r="L138" s="18"/>
      <c r="M138" s="18"/>
      <c r="P138" s="18"/>
      <c r="Q138" s="18"/>
      <c r="R138" s="40"/>
      <c r="S138" s="18"/>
      <c r="T138" s="18"/>
      <c r="U138" s="18"/>
      <c r="V138" s="40"/>
      <c r="W138" s="18"/>
      <c r="X138" s="18"/>
    </row>
    <row r="139" spans="1:26" ht="15" customHeight="1" x14ac:dyDescent="0.25">
      <c r="A139" s="10"/>
      <c r="B139" s="54">
        <v>44727.874479710648</v>
      </c>
      <c r="D139" s="18"/>
      <c r="E139" s="18"/>
      <c r="G139" s="18"/>
      <c r="H139" s="18"/>
      <c r="I139" s="18"/>
      <c r="J139" s="40"/>
      <c r="K139" s="18"/>
      <c r="L139" s="18"/>
      <c r="M139" s="18"/>
      <c r="P139" s="18"/>
      <c r="Q139" s="18"/>
      <c r="R139" s="40"/>
      <c r="S139" s="18"/>
      <c r="T139" s="18"/>
      <c r="U139" s="18"/>
      <c r="V139" s="40"/>
      <c r="W139" s="18"/>
      <c r="X139" s="18"/>
    </row>
    <row r="140" spans="1:26" ht="15" customHeight="1" x14ac:dyDescent="0.25">
      <c r="A140" s="10"/>
      <c r="B140" s="50" t="s">
        <v>298</v>
      </c>
      <c r="D140" s="18"/>
      <c r="E140" s="18"/>
      <c r="G140" s="18"/>
      <c r="H140" s="18"/>
      <c r="I140" s="18"/>
      <c r="J140" s="40"/>
      <c r="K140" s="18"/>
      <c r="L140" s="18"/>
      <c r="M140" s="18"/>
      <c r="P140" s="18"/>
      <c r="Q140" s="18"/>
      <c r="R140" s="40"/>
      <c r="S140" s="18"/>
      <c r="T140" s="18"/>
      <c r="U140" s="18"/>
      <c r="V140" s="40"/>
      <c r="W140" s="18"/>
      <c r="X140" s="18"/>
    </row>
    <row r="141" spans="1:26" ht="15" customHeight="1" x14ac:dyDescent="0.25">
      <c r="A141" s="10"/>
      <c r="B141" s="58"/>
      <c r="D141" s="18"/>
      <c r="E141" s="18"/>
      <c r="G141" s="18"/>
      <c r="H141" s="18"/>
      <c r="I141" s="18"/>
      <c r="J141" s="40"/>
      <c r="K141" s="18"/>
      <c r="L141" s="18"/>
      <c r="M141" s="18"/>
      <c r="P141" s="18"/>
      <c r="Q141" s="18"/>
      <c r="R141" s="40"/>
      <c r="S141" s="18"/>
      <c r="T141" s="18"/>
      <c r="U141" s="18"/>
      <c r="V141" s="40"/>
      <c r="W141" s="18"/>
      <c r="X141" s="18"/>
    </row>
    <row r="142" spans="1:26" ht="15" customHeight="1" x14ac:dyDescent="0.25">
      <c r="D142" s="18"/>
      <c r="E142" s="18"/>
      <c r="G142" s="18"/>
      <c r="H142" s="18"/>
      <c r="I142" s="18"/>
      <c r="J142" s="40"/>
      <c r="K142" s="18"/>
      <c r="L142" s="18"/>
      <c r="M142" s="18"/>
      <c r="P142" s="18"/>
      <c r="Q142" s="18"/>
      <c r="R142" s="40"/>
      <c r="S142" s="18"/>
      <c r="T142" s="18"/>
      <c r="U142" s="18"/>
      <c r="V142" s="40"/>
      <c r="W142" s="18"/>
      <c r="X14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ED91-6004-B95B-C80E-1EE77D261AF3}">
  <sheetPr>
    <tabColor rgb="FF92D050"/>
    <outlinePr summaryBelow="0" summaryRight="0"/>
  </sheetPr>
  <dimension ref="A2:Z9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","307"," - ","Art Store")</f>
        <v>Department 307 - Art Store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13956.279999999999</v>
      </c>
      <c r="E12" s="5"/>
      <c r="F12" s="13"/>
      <c r="G12" s="5"/>
      <c r="H12" s="5">
        <f>SUM(OSRRefH13x_0)</f>
        <v>13349</v>
      </c>
      <c r="I12" s="5"/>
      <c r="J12" s="13"/>
      <c r="K12" s="5"/>
      <c r="L12" s="5">
        <f>+D12-H12</f>
        <v>607.27999999999884</v>
      </c>
      <c r="M12" s="5"/>
      <c r="N12" s="13">
        <f>IF(H12=0,0,L12/H12)</f>
        <v>4.5492546258146589E-2</v>
      </c>
      <c r="O12" s="11"/>
      <c r="P12" s="5">
        <f>SUM(OSRRefP13x_0)</f>
        <v>240656.12999999998</v>
      </c>
      <c r="Q12" s="5"/>
      <c r="R12" s="13"/>
      <c r="S12" s="5"/>
      <c r="T12" s="5">
        <f>SUM(OSRRefT13x_0)</f>
        <v>476543</v>
      </c>
      <c r="U12" s="5"/>
      <c r="V12" s="13"/>
      <c r="W12" s="5"/>
      <c r="X12" s="5">
        <f>+P12-T12</f>
        <v>-235886.87000000002</v>
      </c>
      <c r="Y12" s="5"/>
      <c r="Z12" s="13">
        <f>IF(T12=0,0,X12/T12)</f>
        <v>-0.49499598147491419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--7408.6</f>
        <v>7408.6</v>
      </c>
      <c r="E13" s="3"/>
      <c r="F13" s="20"/>
      <c r="G13" s="3"/>
      <c r="H13" s="3">
        <v>6188</v>
      </c>
      <c r="I13" s="3"/>
      <c r="J13" s="20"/>
      <c r="K13" s="3"/>
      <c r="L13" s="3">
        <f>+D13-H13</f>
        <v>1220.6000000000004</v>
      </c>
      <c r="M13" s="3"/>
      <c r="N13" s="20">
        <f>IF(H13=0,0,L13/H13)</f>
        <v>0.1972527472527473</v>
      </c>
      <c r="O13" s="12"/>
      <c r="P13" s="3">
        <f>--158221.5</f>
        <v>158221.5</v>
      </c>
      <c r="Q13" s="3"/>
      <c r="R13" s="20"/>
      <c r="S13" s="3"/>
      <c r="T13" s="3">
        <v>307443</v>
      </c>
      <c r="U13" s="3"/>
      <c r="V13" s="20"/>
      <c r="W13" s="3"/>
      <c r="X13" s="3">
        <f>+P13-T13</f>
        <v>-149221.5</v>
      </c>
      <c r="Y13" s="3"/>
      <c r="Z13" s="20">
        <f>IF(T13=0,0,X13/T13)</f>
        <v>-0.48536314048457763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--6809.97</f>
        <v>6809.97</v>
      </c>
      <c r="E14" s="3"/>
      <c r="F14" s="20"/>
      <c r="G14" s="3"/>
      <c r="H14" s="3">
        <v>7161</v>
      </c>
      <c r="I14" s="3"/>
      <c r="J14" s="20"/>
      <c r="K14" s="3"/>
      <c r="L14" s="3">
        <f>+D14-H14</f>
        <v>-351.02999999999975</v>
      </c>
      <c r="M14" s="3"/>
      <c r="N14" s="20">
        <f>IF(H14=0,0,L14/H14)</f>
        <v>-4.9019689987431884E-2</v>
      </c>
      <c r="O14" s="12"/>
      <c r="P14" s="3">
        <f>--87055.23</f>
        <v>87055.23</v>
      </c>
      <c r="Q14" s="3"/>
      <c r="R14" s="20"/>
      <c r="S14" s="3"/>
      <c r="T14" s="3">
        <v>169100</v>
      </c>
      <c r="U14" s="3"/>
      <c r="V14" s="20"/>
      <c r="W14" s="3"/>
      <c r="X14" s="3">
        <f>+P14-T14</f>
        <v>-82044.77</v>
      </c>
      <c r="Y14" s="3"/>
      <c r="Z14" s="20">
        <f>IF(T14=0,0,X14/T14)</f>
        <v>-0.48518492016558251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-122.18</f>
        <v>-122.18</v>
      </c>
      <c r="E15" s="3"/>
      <c r="F15" s="20"/>
      <c r="G15" s="3"/>
      <c r="H15" s="3"/>
      <c r="I15" s="3"/>
      <c r="J15" s="20"/>
      <c r="K15" s="3"/>
      <c r="L15" s="3">
        <f>+D15-H15</f>
        <v>-122.18</v>
      </c>
      <c r="M15" s="3"/>
      <c r="N15" s="20">
        <f>IF(H15=0,0,L15/H15)</f>
        <v>0</v>
      </c>
      <c r="O15" s="12"/>
      <c r="P15" s="3">
        <f>-2300.51</f>
        <v>-2300.5100000000002</v>
      </c>
      <c r="Q15" s="3"/>
      <c r="R15" s="20"/>
      <c r="S15" s="3"/>
      <c r="T15" s="3"/>
      <c r="U15" s="3"/>
      <c r="V15" s="20"/>
      <c r="W15" s="3"/>
      <c r="X15" s="3">
        <f>+P15-T15</f>
        <v>-2300.5100000000002</v>
      </c>
      <c r="Y15" s="3"/>
      <c r="Z15" s="20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","4500"," - ","SALES DISCOUNT")</f>
        <v xml:space="preserve">          4500 - SALES DISCOUNT</v>
      </c>
      <c r="C16" s="12"/>
      <c r="D16" s="3">
        <f>-140.11</f>
        <v>-140.11000000000001</v>
      </c>
      <c r="E16" s="3"/>
      <c r="F16" s="20"/>
      <c r="G16" s="3"/>
      <c r="H16" s="3"/>
      <c r="I16" s="3"/>
      <c r="J16" s="20"/>
      <c r="K16" s="3"/>
      <c r="L16" s="3">
        <f>+D16-H16</f>
        <v>-140.11000000000001</v>
      </c>
      <c r="M16" s="3"/>
      <c r="N16" s="20">
        <f>IF(H16=0,0,L16/H16)</f>
        <v>0</v>
      </c>
      <c r="O16" s="12"/>
      <c r="P16" s="3">
        <f>-2320.09</f>
        <v>-2320.09</v>
      </c>
      <c r="Q16" s="3"/>
      <c r="R16" s="20"/>
      <c r="S16" s="3"/>
      <c r="T16" s="3"/>
      <c r="U16" s="3"/>
      <c r="V16" s="20"/>
      <c r="W16" s="3"/>
      <c r="X16" s="3">
        <f>+P16-T16</f>
        <v>-2320.09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7385.670000000001</v>
      </c>
      <c r="E18" s="5"/>
      <c r="F18" s="13">
        <f t="shared" ref="F18:F28" si="0">IF(D$12=0,0,D18/D$12)</f>
        <v>0.52920047462504349</v>
      </c>
      <c r="G18" s="5"/>
      <c r="H18" s="5">
        <f>SUM(OSRRefH16x_0)</f>
        <v>7003</v>
      </c>
      <c r="I18" s="5"/>
      <c r="J18" s="13">
        <f t="shared" ref="J18:J28" si="1">IF(H$12=0,0,H18/H$12)</f>
        <v>0.52460858491272755</v>
      </c>
      <c r="K18" s="5"/>
      <c r="L18" s="5">
        <f t="shared" ref="L18:L28" si="2">+D18-H18</f>
        <v>382.67000000000098</v>
      </c>
      <c r="M18" s="5"/>
      <c r="N18" s="13">
        <f t="shared" ref="N18:N28" si="3">IF(H18=0,0,L18/H18)</f>
        <v>5.4643724118235183E-2</v>
      </c>
      <c r="O18" s="11"/>
      <c r="P18" s="5">
        <f>SUM(OSRRefP16x_0)</f>
        <v>133658.28</v>
      </c>
      <c r="Q18" s="5"/>
      <c r="R18" s="13">
        <f t="shared" ref="R18:R28" si="4">IF(P$12=0,0,P18/P$12)</f>
        <v>0.55539113007426821</v>
      </c>
      <c r="S18" s="5"/>
      <c r="T18" s="5">
        <f>SUM(OSRRefT16x_0)</f>
        <v>265477</v>
      </c>
      <c r="U18" s="5"/>
      <c r="V18" s="13">
        <f t="shared" ref="V18:V28" si="5">IF(T$12=0,0,T18/T$12)</f>
        <v>0.55708928680098124</v>
      </c>
      <c r="W18" s="5"/>
      <c r="X18" s="5">
        <f t="shared" ref="X18:X28" si="6">+P18-T18</f>
        <v>-131818.72</v>
      </c>
      <c r="Y18" s="5"/>
      <c r="Z18" s="13">
        <f t="shared" ref="Z18:Z28" si="7">IF(T18=0,0,X18/T18)</f>
        <v>-0.49653536841232954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>
        <v>20965.240000000002</v>
      </c>
      <c r="E19" s="3"/>
      <c r="F19" s="20">
        <f t="shared" si="0"/>
        <v>1.5022083248544744</v>
      </c>
      <c r="G19" s="3"/>
      <c r="H19" s="3">
        <v>7003</v>
      </c>
      <c r="I19" s="3"/>
      <c r="J19" s="20">
        <f t="shared" si="1"/>
        <v>0.52460858491272755</v>
      </c>
      <c r="K19" s="3"/>
      <c r="L19" s="3">
        <f t="shared" si="2"/>
        <v>13962.240000000002</v>
      </c>
      <c r="M19" s="3"/>
      <c r="N19" s="20">
        <f t="shared" si="3"/>
        <v>1.9937512494645155</v>
      </c>
      <c r="O19" s="12"/>
      <c r="P19" s="3">
        <v>169160.87</v>
      </c>
      <c r="Q19" s="3"/>
      <c r="R19" s="20">
        <f t="shared" si="4"/>
        <v>0.7029152758336138</v>
      </c>
      <c r="S19" s="3"/>
      <c r="T19" s="3">
        <v>265477</v>
      </c>
      <c r="U19" s="3"/>
      <c r="V19" s="20">
        <f t="shared" si="5"/>
        <v>0.55708928680098124</v>
      </c>
      <c r="W19" s="3"/>
      <c r="X19" s="3">
        <f t="shared" si="6"/>
        <v>-96316.13</v>
      </c>
      <c r="Y19" s="3"/>
      <c r="Z19" s="20">
        <f t="shared" si="7"/>
        <v>-0.36280404705492381</v>
      </c>
    </row>
    <row r="20" spans="1:26" s="70" customFormat="1" ht="15" hidden="1" customHeight="1" outlineLevel="1" x14ac:dyDescent="0.25">
      <c r="A20" s="42"/>
      <c r="B20" s="12" t="str">
        <f>CONCATENATE("          ","5026"," - ","PURCHASES @ COST-WRITING INSTR")</f>
        <v xml:space="preserve">          5026 - PURCHASES @ COST-WRITING INSTR</v>
      </c>
      <c r="C20" s="12"/>
      <c r="D20" s="3"/>
      <c r="E20" s="3"/>
      <c r="F20" s="20">
        <f t="shared" si="0"/>
        <v>0</v>
      </c>
      <c r="G20" s="3"/>
      <c r="H20" s="3"/>
      <c r="I20" s="3"/>
      <c r="J20" s="20">
        <f t="shared" si="1"/>
        <v>0</v>
      </c>
      <c r="K20" s="3"/>
      <c r="L20" s="3">
        <f t="shared" si="2"/>
        <v>0</v>
      </c>
      <c r="M20" s="3"/>
      <c r="N20" s="20">
        <f t="shared" si="3"/>
        <v>0</v>
      </c>
      <c r="O20" s="12"/>
      <c r="P20" s="3">
        <v>0</v>
      </c>
      <c r="Q20" s="3"/>
      <c r="R20" s="20">
        <f t="shared" si="4"/>
        <v>0</v>
      </c>
      <c r="S20" s="3"/>
      <c r="T20" s="3"/>
      <c r="U20" s="3"/>
      <c r="V20" s="20">
        <f t="shared" si="5"/>
        <v>0</v>
      </c>
      <c r="W20" s="3"/>
      <c r="X20" s="3">
        <f t="shared" si="6"/>
        <v>0</v>
      </c>
      <c r="Y20" s="3"/>
      <c r="Z20" s="20">
        <f t="shared" si="7"/>
        <v>0</v>
      </c>
    </row>
    <row r="21" spans="1:26" s="70" customFormat="1" ht="15" hidden="1" customHeight="1" outlineLevel="1" x14ac:dyDescent="0.25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0"/>
        <v>0</v>
      </c>
      <c r="G21" s="3"/>
      <c r="H21" s="3"/>
      <c r="I21" s="3"/>
      <c r="J21" s="20">
        <f t="shared" si="1"/>
        <v>0</v>
      </c>
      <c r="K21" s="3"/>
      <c r="L21" s="3">
        <f t="shared" si="2"/>
        <v>0</v>
      </c>
      <c r="M21" s="3"/>
      <c r="N21" s="20">
        <f t="shared" si="3"/>
        <v>0</v>
      </c>
      <c r="O21" s="12"/>
      <c r="P21" s="3">
        <v>0</v>
      </c>
      <c r="Q21" s="3"/>
      <c r="R21" s="20">
        <f t="shared" si="4"/>
        <v>0</v>
      </c>
      <c r="S21" s="3"/>
      <c r="T21" s="3"/>
      <c r="U21" s="3"/>
      <c r="V21" s="20">
        <f t="shared" si="5"/>
        <v>0</v>
      </c>
      <c r="W21" s="3"/>
      <c r="X21" s="3">
        <f t="shared" si="6"/>
        <v>0</v>
      </c>
      <c r="Y21" s="3"/>
      <c r="Z21" s="20">
        <f t="shared" si="7"/>
        <v>0</v>
      </c>
    </row>
    <row r="22" spans="1:26" s="70" customFormat="1" ht="15" hidden="1" customHeight="1" outlineLevel="1" x14ac:dyDescent="0.25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0"/>
        <v>0</v>
      </c>
      <c r="G22" s="3"/>
      <c r="H22" s="3"/>
      <c r="I22" s="3"/>
      <c r="J22" s="20">
        <f t="shared" si="1"/>
        <v>0</v>
      </c>
      <c r="K22" s="3"/>
      <c r="L22" s="3">
        <f t="shared" si="2"/>
        <v>0</v>
      </c>
      <c r="M22" s="3"/>
      <c r="N22" s="20">
        <f t="shared" si="3"/>
        <v>0</v>
      </c>
      <c r="O22" s="12"/>
      <c r="P22" s="3">
        <v>0</v>
      </c>
      <c r="Q22" s="3"/>
      <c r="R22" s="20">
        <f t="shared" si="4"/>
        <v>0</v>
      </c>
      <c r="S22" s="3"/>
      <c r="T22" s="3"/>
      <c r="U22" s="3"/>
      <c r="V22" s="20">
        <f t="shared" si="5"/>
        <v>0</v>
      </c>
      <c r="W22" s="3"/>
      <c r="X22" s="3">
        <f t="shared" si="6"/>
        <v>0</v>
      </c>
      <c r="Y22" s="3"/>
      <c r="Z22" s="20">
        <f t="shared" si="7"/>
        <v>0</v>
      </c>
    </row>
    <row r="23" spans="1:26" s="70" customFormat="1" ht="15" hidden="1" customHeight="1" outlineLevel="1" x14ac:dyDescent="0.25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0"/>
        <v>0</v>
      </c>
      <c r="G23" s="3"/>
      <c r="H23" s="3"/>
      <c r="I23" s="3"/>
      <c r="J23" s="20">
        <f t="shared" si="1"/>
        <v>0</v>
      </c>
      <c r="K23" s="3"/>
      <c r="L23" s="3">
        <f t="shared" si="2"/>
        <v>0</v>
      </c>
      <c r="M23" s="3"/>
      <c r="N23" s="20">
        <f t="shared" si="3"/>
        <v>0</v>
      </c>
      <c r="O23" s="12"/>
      <c r="P23" s="3">
        <v>0</v>
      </c>
      <c r="Q23" s="3"/>
      <c r="R23" s="20">
        <f t="shared" si="4"/>
        <v>0</v>
      </c>
      <c r="S23" s="3"/>
      <c r="T23" s="3"/>
      <c r="U23" s="3"/>
      <c r="V23" s="20">
        <f t="shared" si="5"/>
        <v>0</v>
      </c>
      <c r="W23" s="3"/>
      <c r="X23" s="3">
        <f t="shared" si="6"/>
        <v>0</v>
      </c>
      <c r="Y23" s="3"/>
      <c r="Z23" s="20">
        <f t="shared" si="7"/>
        <v>0</v>
      </c>
    </row>
    <row r="24" spans="1:26" s="70" customFormat="1" ht="15" hidden="1" customHeight="1" outlineLevel="1" x14ac:dyDescent="0.25">
      <c r="A24" s="42"/>
      <c r="B24" s="12" t="str">
        <f>CONCATENATE("          ","5042"," - ","PURCHASES @ COST-EVERYDAY GIFT")</f>
        <v xml:space="preserve">          5042 - PURCHASES @ COST-EVERYDAY GIFT</v>
      </c>
      <c r="C24" s="12"/>
      <c r="D24" s="3"/>
      <c r="E24" s="3"/>
      <c r="F24" s="20">
        <f t="shared" si="0"/>
        <v>0</v>
      </c>
      <c r="G24" s="3"/>
      <c r="H24" s="3"/>
      <c r="I24" s="3"/>
      <c r="J24" s="20">
        <f t="shared" si="1"/>
        <v>0</v>
      </c>
      <c r="K24" s="3"/>
      <c r="L24" s="3">
        <f t="shared" si="2"/>
        <v>0</v>
      </c>
      <c r="M24" s="3"/>
      <c r="N24" s="20">
        <f t="shared" si="3"/>
        <v>0</v>
      </c>
      <c r="O24" s="12"/>
      <c r="P24" s="3">
        <v>0</v>
      </c>
      <c r="Q24" s="3"/>
      <c r="R24" s="20">
        <f t="shared" si="4"/>
        <v>0</v>
      </c>
      <c r="S24" s="3"/>
      <c r="T24" s="3"/>
      <c r="U24" s="3"/>
      <c r="V24" s="20">
        <f t="shared" si="5"/>
        <v>0</v>
      </c>
      <c r="W24" s="3"/>
      <c r="X24" s="3">
        <f t="shared" si="6"/>
        <v>0</v>
      </c>
      <c r="Y24" s="3"/>
      <c r="Z24" s="20">
        <f t="shared" si="7"/>
        <v>0</v>
      </c>
    </row>
    <row r="25" spans="1:26" s="70" customFormat="1" ht="15" hidden="1" customHeight="1" outlineLevel="1" x14ac:dyDescent="0.25">
      <c r="A25" s="42"/>
      <c r="B25" s="12" t="str">
        <f>CONCATENATE("          ","5200"," - ","PURCHASES OFFSET")</f>
        <v xml:space="preserve">          5200 - PURCHASES OFFSET</v>
      </c>
      <c r="C25" s="12"/>
      <c r="D25" s="3">
        <v>-21390.11</v>
      </c>
      <c r="E25" s="3"/>
      <c r="F25" s="20">
        <f t="shared" si="0"/>
        <v>-1.5326512509064021</v>
      </c>
      <c r="G25" s="3"/>
      <c r="H25" s="3"/>
      <c r="I25" s="3"/>
      <c r="J25" s="20">
        <f t="shared" si="1"/>
        <v>0</v>
      </c>
      <c r="K25" s="3"/>
      <c r="L25" s="3">
        <f t="shared" si="2"/>
        <v>-21390.11</v>
      </c>
      <c r="M25" s="3"/>
      <c r="N25" s="20">
        <f t="shared" si="3"/>
        <v>0</v>
      </c>
      <c r="O25" s="12"/>
      <c r="P25" s="3">
        <v>-170948.47</v>
      </c>
      <c r="Q25" s="3"/>
      <c r="R25" s="20">
        <f t="shared" si="4"/>
        <v>-0.71034330187226069</v>
      </c>
      <c r="S25" s="3"/>
      <c r="T25" s="3"/>
      <c r="U25" s="3"/>
      <c r="V25" s="20">
        <f t="shared" si="5"/>
        <v>0</v>
      </c>
      <c r="W25" s="3"/>
      <c r="X25" s="3">
        <f t="shared" si="6"/>
        <v>-170948.47</v>
      </c>
      <c r="Y25" s="3"/>
      <c r="Z25" s="20">
        <f t="shared" si="7"/>
        <v>0</v>
      </c>
    </row>
    <row r="26" spans="1:26" s="70" customFormat="1" ht="15" hidden="1" customHeight="1" outlineLevel="1" x14ac:dyDescent="0.25">
      <c r="A26" s="42"/>
      <c r="B26" s="12" t="str">
        <f>CONCATENATE("          ","5300"," - ","COG$ OFFSET")</f>
        <v xml:space="preserve">          5300 - COG$ OFFSET</v>
      </c>
      <c r="C26" s="12"/>
      <c r="D26" s="3">
        <v>7385.67</v>
      </c>
      <c r="E26" s="3"/>
      <c r="F26" s="20">
        <f t="shared" si="0"/>
        <v>0.52920047462504338</v>
      </c>
      <c r="G26" s="3"/>
      <c r="H26" s="3"/>
      <c r="I26" s="3"/>
      <c r="J26" s="20">
        <f t="shared" si="1"/>
        <v>0</v>
      </c>
      <c r="K26" s="3"/>
      <c r="L26" s="3">
        <f t="shared" si="2"/>
        <v>7385.67</v>
      </c>
      <c r="M26" s="3"/>
      <c r="N26" s="20">
        <f t="shared" si="3"/>
        <v>0</v>
      </c>
      <c r="O26" s="12"/>
      <c r="P26" s="3">
        <v>133658.28</v>
      </c>
      <c r="Q26" s="3"/>
      <c r="R26" s="20">
        <f t="shared" si="4"/>
        <v>0.55539113007426821</v>
      </c>
      <c r="S26" s="3"/>
      <c r="T26" s="3"/>
      <c r="U26" s="3"/>
      <c r="V26" s="20">
        <f t="shared" si="5"/>
        <v>0</v>
      </c>
      <c r="W26" s="3"/>
      <c r="X26" s="3">
        <f t="shared" si="6"/>
        <v>133658.28</v>
      </c>
      <c r="Y26" s="3"/>
      <c r="Z26" s="20">
        <f t="shared" si="7"/>
        <v>0</v>
      </c>
    </row>
    <row r="27" spans="1:26" s="70" customFormat="1" ht="15" hidden="1" customHeight="1" outlineLevel="1" x14ac:dyDescent="0.25">
      <c r="A27" s="42"/>
      <c r="B27" s="12" t="str">
        <f>CONCATENATE("          ","5500"," - ","FREIGHT-IN")</f>
        <v xml:space="preserve">          5500 - FREIGHT-IN</v>
      </c>
      <c r="C27" s="12"/>
      <c r="D27" s="3">
        <v>424.87</v>
      </c>
      <c r="E27" s="3"/>
      <c r="F27" s="20">
        <f t="shared" si="0"/>
        <v>3.0442926051927881E-2</v>
      </c>
      <c r="G27" s="3"/>
      <c r="H27" s="3"/>
      <c r="I27" s="3"/>
      <c r="J27" s="20">
        <f t="shared" si="1"/>
        <v>0</v>
      </c>
      <c r="K27" s="3"/>
      <c r="L27" s="3">
        <f t="shared" si="2"/>
        <v>424.87</v>
      </c>
      <c r="M27" s="3"/>
      <c r="N27" s="20">
        <f t="shared" si="3"/>
        <v>0</v>
      </c>
      <c r="O27" s="12"/>
      <c r="P27" s="3">
        <v>1787.6</v>
      </c>
      <c r="Q27" s="3"/>
      <c r="R27" s="20">
        <f t="shared" si="4"/>
        <v>7.4280260386469276E-3</v>
      </c>
      <c r="S27" s="3"/>
      <c r="T27" s="3"/>
      <c r="U27" s="3"/>
      <c r="V27" s="20">
        <f t="shared" si="5"/>
        <v>0</v>
      </c>
      <c r="W27" s="3"/>
      <c r="X27" s="3">
        <f t="shared" si="6"/>
        <v>1787.6</v>
      </c>
      <c r="Y27" s="3"/>
      <c r="Z27" s="20">
        <f t="shared" si="7"/>
        <v>0</v>
      </c>
    </row>
    <row r="28" spans="1:26" s="70" customFormat="1" ht="15" hidden="1" customHeight="1" outlineLevel="1" x14ac:dyDescent="0.25">
      <c r="A28" s="42"/>
      <c r="B28" s="12" t="str">
        <f>CONCATENATE("          ","5528"," - ","FREIGHT-IN-ART/TECH")</f>
        <v xml:space="preserve">          5528 - FREIGHT-IN-ART/TECH</v>
      </c>
      <c r="C28" s="12"/>
      <c r="D28" s="3"/>
      <c r="E28" s="3"/>
      <c r="F28" s="20">
        <f t="shared" si="0"/>
        <v>0</v>
      </c>
      <c r="G28" s="3"/>
      <c r="H28" s="3"/>
      <c r="I28" s="3"/>
      <c r="J28" s="20">
        <f t="shared" si="1"/>
        <v>0</v>
      </c>
      <c r="K28" s="3"/>
      <c r="L28" s="3">
        <f t="shared" si="2"/>
        <v>0</v>
      </c>
      <c r="M28" s="3"/>
      <c r="N28" s="20">
        <f t="shared" si="3"/>
        <v>0</v>
      </c>
      <c r="O28" s="12"/>
      <c r="P28" s="3">
        <v>0</v>
      </c>
      <c r="Q28" s="3"/>
      <c r="R28" s="20">
        <f t="shared" si="4"/>
        <v>0</v>
      </c>
      <c r="S28" s="3"/>
      <c r="T28" s="3"/>
      <c r="U28" s="3"/>
      <c r="V28" s="20">
        <f t="shared" si="5"/>
        <v>0</v>
      </c>
      <c r="W28" s="3"/>
      <c r="X28" s="3">
        <f t="shared" si="6"/>
        <v>0</v>
      </c>
      <c r="Y28" s="3"/>
      <c r="Z28" s="20">
        <f t="shared" si="7"/>
        <v>0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25">
      <c r="A30" s="11"/>
      <c r="B30" s="28" t="s">
        <v>289</v>
      </c>
      <c r="C30" s="28"/>
      <c r="D30" s="22">
        <f>D12-D18</f>
        <v>6570.6099999999979</v>
      </c>
      <c r="E30" s="15"/>
      <c r="F30" s="21">
        <f>IF(D$12=0,0,D30/D$12)</f>
        <v>0.47079952537495656</v>
      </c>
      <c r="G30" s="15"/>
      <c r="H30" s="22">
        <f>H12-H18</f>
        <v>6346</v>
      </c>
      <c r="I30" s="15"/>
      <c r="J30" s="21">
        <f>IF(H$12=0,0,H30/H$12)</f>
        <v>0.47539141508727245</v>
      </c>
      <c r="K30" s="16"/>
      <c r="L30" s="22">
        <f>+D30-H30</f>
        <v>224.60999999999785</v>
      </c>
      <c r="M30" s="16"/>
      <c r="N30" s="21">
        <f>IF(H30=0,0,L30/H30)</f>
        <v>3.5393948944216491E-2</v>
      </c>
      <c r="O30" s="27"/>
      <c r="P30" s="22">
        <f>P12-P18</f>
        <v>106997.84999999998</v>
      </c>
      <c r="Q30" s="15"/>
      <c r="R30" s="21">
        <f>IF(P$12=0,0,P30/P$12)</f>
        <v>0.44460886992573173</v>
      </c>
      <c r="S30" s="15"/>
      <c r="T30" s="22">
        <f>T12-T18</f>
        <v>211066</v>
      </c>
      <c r="U30" s="15"/>
      <c r="V30" s="21">
        <f>IF(T$12=0,0,T30/T$12)</f>
        <v>0.44291071319901876</v>
      </c>
      <c r="W30" s="16"/>
      <c r="X30" s="22">
        <f>+P30-T30</f>
        <v>-104068.15000000002</v>
      </c>
      <c r="Y30" s="16"/>
      <c r="Z30" s="21">
        <f>IF(T30=0,0,X30/T30)</f>
        <v>-0.49305975382107975</v>
      </c>
    </row>
    <row r="31" spans="1:26" ht="15" customHeight="1" x14ac:dyDescent="0.25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5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3" customFormat="1" ht="15" customHeight="1" x14ac:dyDescent="0.25">
      <c r="A32" s="11"/>
      <c r="B32" s="27" t="s">
        <v>290</v>
      </c>
      <c r="C32" s="11"/>
      <c r="D32" s="23" cm="1">
        <f t="array" ref="D32">SUM(OSRRefD22x_0)</f>
        <v>8124.6599999999989</v>
      </c>
      <c r="E32" s="23"/>
      <c r="F32" s="31">
        <f t="shared" ref="F32:F63" si="8">IF(D$12=0,0,D32/D$12)</f>
        <v>0.58215083102373988</v>
      </c>
      <c r="G32" s="23"/>
      <c r="H32" s="23" cm="1">
        <f t="array" ref="H32">SUM(OSRRefH22x_0)</f>
        <v>10322.848692</v>
      </c>
      <c r="I32" s="23"/>
      <c r="J32" s="31">
        <f t="shared" ref="J32:J63" si="9">IF(H$12=0,0,H32/H$12)</f>
        <v>0.77330501850325861</v>
      </c>
      <c r="K32" s="5"/>
      <c r="L32" s="23">
        <f t="shared" ref="L32:L63" si="10">+D32-H32</f>
        <v>-2198.1886920000006</v>
      </c>
      <c r="M32" s="5"/>
      <c r="N32" s="31">
        <f t="shared" ref="N32:N63" si="11">IF(H32=0,0,L32/H32)</f>
        <v>-0.21294400001266633</v>
      </c>
      <c r="O32" s="11"/>
      <c r="P32" s="23" cm="1">
        <f t="array" ref="P32">SUM(OSRRefP22x_0)</f>
        <v>67973.63</v>
      </c>
      <c r="Q32" s="23"/>
      <c r="R32" s="31">
        <f t="shared" ref="R32:R63" si="12">IF(P$12=0,0,P32/P$12)</f>
        <v>0.28245127186247038</v>
      </c>
      <c r="S32" s="23"/>
      <c r="T32" s="23" cm="1">
        <f t="array" ref="T32">SUM(OSRRefT22x_0)</f>
        <v>126103.20655599999</v>
      </c>
      <c r="U32" s="23"/>
      <c r="V32" s="31">
        <f t="shared" ref="V32:V63" si="13">IF(T$12=0,0,T32/T$12)</f>
        <v>0.26462083496347649</v>
      </c>
      <c r="W32" s="5"/>
      <c r="X32" s="23">
        <f t="shared" ref="X32:X63" si="14">+P32-T32</f>
        <v>-58129.576555999985</v>
      </c>
      <c r="Y32" s="5"/>
      <c r="Z32" s="31">
        <f t="shared" ref="Z32:Z63" si="15">IF(T32=0,0,X32/T32)</f>
        <v>-0.46096826673622898</v>
      </c>
    </row>
    <row r="33" spans="1:26" s="69" customFormat="1" ht="15" customHeight="1" outlineLevel="1" collapsed="1" x14ac:dyDescent="0.25">
      <c r="A33" s="26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1073.75</v>
      </c>
      <c r="E33" s="2"/>
      <c r="F33" s="6">
        <f t="shared" si="8"/>
        <v>7.6936690866047402E-2</v>
      </c>
      <c r="G33" s="2"/>
      <c r="H33" s="2">
        <f>SUM(OSRRefH22_0x_0)</f>
        <v>613.76869199999999</v>
      </c>
      <c r="I33" s="2"/>
      <c r="J33" s="6">
        <f t="shared" si="9"/>
        <v>4.5978627013259422E-2</v>
      </c>
      <c r="K33" s="2"/>
      <c r="L33" s="2">
        <f t="shared" si="10"/>
        <v>459.98130800000001</v>
      </c>
      <c r="M33" s="2"/>
      <c r="N33" s="6">
        <f t="shared" si="11"/>
        <v>0.74943755521501909</v>
      </c>
      <c r="O33" s="14"/>
      <c r="P33" s="2">
        <f>SUM(OSRRefP22_0x_0)</f>
        <v>2591.59</v>
      </c>
      <c r="Q33" s="2"/>
      <c r="R33" s="6">
        <f t="shared" si="12"/>
        <v>1.0768850974209552E-2</v>
      </c>
      <c r="S33" s="2"/>
      <c r="T33" s="2">
        <f>SUM(OSRRefT22_0x_0)</f>
        <v>8175.2665560000005</v>
      </c>
      <c r="U33" s="2"/>
      <c r="V33" s="6">
        <f t="shared" si="13"/>
        <v>1.7155359654847518E-2</v>
      </c>
      <c r="W33" s="2"/>
      <c r="X33" s="2">
        <f t="shared" si="14"/>
        <v>-5583.6765560000003</v>
      </c>
      <c r="Y33" s="2"/>
      <c r="Z33" s="6">
        <f t="shared" si="15"/>
        <v>-0.68299626902098043</v>
      </c>
    </row>
    <row r="34" spans="1:26" s="70" customFormat="1" ht="15" hidden="1" customHeight="1" outlineLevel="2" x14ac:dyDescent="0.25">
      <c r="A34" s="25"/>
      <c r="B34" s="12" t="str">
        <f>CONCATENATE("          ","6111"," - ","F.I.C.A.")</f>
        <v xml:space="preserve">          6111 - F.I.C.A.</v>
      </c>
      <c r="C34" s="12"/>
      <c r="D34" s="8">
        <v>257.97000000000003</v>
      </c>
      <c r="E34" s="3"/>
      <c r="F34" s="7">
        <f t="shared" si="8"/>
        <v>1.8484151937335741E-2</v>
      </c>
      <c r="G34" s="3"/>
      <c r="H34" s="8">
        <v>157.223232</v>
      </c>
      <c r="I34" s="3"/>
      <c r="J34" s="7">
        <f t="shared" si="9"/>
        <v>1.1777903363547832E-2</v>
      </c>
      <c r="K34" s="3"/>
      <c r="L34" s="8">
        <f t="shared" si="10"/>
        <v>100.74676800000003</v>
      </c>
      <c r="M34" s="3"/>
      <c r="N34" s="7">
        <f t="shared" si="11"/>
        <v>0.64078804842276771</v>
      </c>
      <c r="O34" s="12"/>
      <c r="P34" s="8">
        <v>894.95</v>
      </c>
      <c r="Q34" s="3"/>
      <c r="R34" s="7">
        <f t="shared" si="12"/>
        <v>3.7187916218880449E-3</v>
      </c>
      <c r="S34" s="3"/>
      <c r="T34" s="8">
        <v>2890.8595260000002</v>
      </c>
      <c r="U34" s="3"/>
      <c r="V34" s="7">
        <f t="shared" si="13"/>
        <v>6.0663141122626919E-3</v>
      </c>
      <c r="W34" s="3"/>
      <c r="X34" s="8">
        <f t="shared" si="14"/>
        <v>-1995.9095260000001</v>
      </c>
      <c r="Y34" s="3"/>
      <c r="Z34" s="7">
        <f t="shared" si="15"/>
        <v>-0.69042079286421887</v>
      </c>
    </row>
    <row r="35" spans="1:26" s="70" customFormat="1" ht="15" hidden="1" customHeight="1" outlineLevel="2" x14ac:dyDescent="0.25">
      <c r="A35" s="25"/>
      <c r="B35" s="12" t="str">
        <f>CONCATENATE("          ","6112"," - ","COMPENSATION INSURANCE")</f>
        <v xml:space="preserve">          6112 - COMPENSATION INSURANCE</v>
      </c>
      <c r="C35" s="12"/>
      <c r="D35" s="8">
        <v>225.82</v>
      </c>
      <c r="E35" s="3"/>
      <c r="F35" s="7">
        <f t="shared" si="8"/>
        <v>1.6180529482068287E-2</v>
      </c>
      <c r="G35" s="3"/>
      <c r="H35" s="8">
        <v>135.87288000000001</v>
      </c>
      <c r="I35" s="3"/>
      <c r="J35" s="7">
        <f t="shared" si="9"/>
        <v>1.01785062551502E-2</v>
      </c>
      <c r="K35" s="3"/>
      <c r="L35" s="8">
        <f t="shared" si="10"/>
        <v>89.947119999999984</v>
      </c>
      <c r="M35" s="3"/>
      <c r="N35" s="7">
        <f t="shared" si="11"/>
        <v>0.66199465264885804</v>
      </c>
      <c r="O35" s="12"/>
      <c r="P35" s="8">
        <v>810.71</v>
      </c>
      <c r="Q35" s="3"/>
      <c r="R35" s="7">
        <f t="shared" si="12"/>
        <v>3.368748595766084E-3</v>
      </c>
      <c r="S35" s="3"/>
      <c r="T35" s="8">
        <v>1572.6968400000001</v>
      </c>
      <c r="U35" s="3"/>
      <c r="V35" s="7">
        <f t="shared" si="13"/>
        <v>3.3002202109778133E-3</v>
      </c>
      <c r="W35" s="3"/>
      <c r="X35" s="8">
        <f t="shared" si="14"/>
        <v>-761.98684000000003</v>
      </c>
      <c r="Y35" s="3"/>
      <c r="Z35" s="7">
        <f t="shared" si="15"/>
        <v>-0.48450967829248009</v>
      </c>
    </row>
    <row r="36" spans="1:26" s="70" customFormat="1" ht="15" hidden="1" customHeight="1" outlineLevel="2" x14ac:dyDescent="0.25">
      <c r="A36" s="25"/>
      <c r="B36" s="12" t="str">
        <f>CONCATENATE("          ","6113"," - ","GROUP INSURANCE")</f>
        <v xml:space="preserve">          6113 - GROUP INSURANCE</v>
      </c>
      <c r="C36" s="12"/>
      <c r="D36" s="8">
        <v>30.64</v>
      </c>
      <c r="E36" s="3"/>
      <c r="F36" s="7">
        <f t="shared" si="8"/>
        <v>2.1954274348178742E-3</v>
      </c>
      <c r="G36" s="3"/>
      <c r="H36" s="8">
        <v>0</v>
      </c>
      <c r="I36" s="3"/>
      <c r="J36" s="7">
        <f t="shared" si="9"/>
        <v>0</v>
      </c>
      <c r="K36" s="3"/>
      <c r="L36" s="8">
        <f t="shared" si="10"/>
        <v>30.64</v>
      </c>
      <c r="M36" s="3"/>
      <c r="N36" s="7">
        <f t="shared" si="11"/>
        <v>0</v>
      </c>
      <c r="O36" s="12"/>
      <c r="P36" s="8">
        <v>30.64</v>
      </c>
      <c r="Q36" s="3"/>
      <c r="R36" s="7">
        <f t="shared" si="12"/>
        <v>1.273185935467341E-4</v>
      </c>
      <c r="S36" s="3"/>
      <c r="T36" s="8">
        <v>0</v>
      </c>
      <c r="U36" s="3"/>
      <c r="V36" s="7">
        <f t="shared" si="13"/>
        <v>0</v>
      </c>
      <c r="W36" s="3"/>
      <c r="X36" s="8">
        <f t="shared" si="14"/>
        <v>30.64</v>
      </c>
      <c r="Y36" s="3"/>
      <c r="Z36" s="7">
        <f t="shared" si="15"/>
        <v>0</v>
      </c>
    </row>
    <row r="37" spans="1:26" s="70" customFormat="1" ht="15" hidden="1" customHeight="1" outlineLevel="2" x14ac:dyDescent="0.25">
      <c r="A37" s="25"/>
      <c r="B37" s="12" t="str">
        <f>CONCATENATE("          ","6114"," - ","STATE UNEMPLOYMENT INSURANCE")</f>
        <v xml:space="preserve">          6114 - STATE UNEMPLOYMENT INSURANCE</v>
      </c>
      <c r="C37" s="12"/>
      <c r="D37" s="8">
        <v>39.67</v>
      </c>
      <c r="E37" s="3"/>
      <c r="F37" s="7">
        <f t="shared" si="8"/>
        <v>2.8424479875726202E-3</v>
      </c>
      <c r="G37" s="3"/>
      <c r="H37" s="8">
        <v>18.290579999999999</v>
      </c>
      <c r="I37" s="3"/>
      <c r="J37" s="7">
        <f t="shared" si="9"/>
        <v>1.3701835343471419E-3</v>
      </c>
      <c r="K37" s="3"/>
      <c r="L37" s="8">
        <f t="shared" si="10"/>
        <v>21.379420000000003</v>
      </c>
      <c r="M37" s="3"/>
      <c r="N37" s="7">
        <f t="shared" si="11"/>
        <v>1.1688760006517018</v>
      </c>
      <c r="O37" s="12"/>
      <c r="P37" s="8">
        <v>142.41</v>
      </c>
      <c r="Q37" s="3"/>
      <c r="R37" s="7">
        <f t="shared" si="12"/>
        <v>5.9175720975817247E-4</v>
      </c>
      <c r="S37" s="3"/>
      <c r="T37" s="8">
        <v>211.70919000000001</v>
      </c>
      <c r="U37" s="3"/>
      <c r="V37" s="7">
        <f t="shared" si="13"/>
        <v>4.4426041301624407E-4</v>
      </c>
      <c r="W37" s="3"/>
      <c r="X37" s="8">
        <f t="shared" si="14"/>
        <v>-69.29919000000001</v>
      </c>
      <c r="Y37" s="3"/>
      <c r="Z37" s="7">
        <f t="shared" si="15"/>
        <v>-0.32733198780837058</v>
      </c>
    </row>
    <row r="38" spans="1:26" s="70" customFormat="1" ht="15" hidden="1" customHeight="1" outlineLevel="2" x14ac:dyDescent="0.25">
      <c r="A38" s="25"/>
      <c r="B38" s="12" t="str">
        <f>CONCATENATE("          ","6115"," - ","P.E.R.S.")</f>
        <v xml:space="preserve">          6115 - P.E.R.S.</v>
      </c>
      <c r="C38" s="12"/>
      <c r="D38" s="8"/>
      <c r="E38" s="3"/>
      <c r="F38" s="7">
        <f t="shared" si="8"/>
        <v>0</v>
      </c>
      <c r="G38" s="3"/>
      <c r="H38" s="8">
        <v>0</v>
      </c>
      <c r="I38" s="3"/>
      <c r="J38" s="7">
        <f t="shared" si="9"/>
        <v>0</v>
      </c>
      <c r="K38" s="3"/>
      <c r="L38" s="8">
        <f t="shared" si="10"/>
        <v>0</v>
      </c>
      <c r="M38" s="3"/>
      <c r="N38" s="7">
        <f t="shared" si="11"/>
        <v>0</v>
      </c>
      <c r="O38" s="12"/>
      <c r="P38" s="8"/>
      <c r="Q38" s="3"/>
      <c r="R38" s="7">
        <f t="shared" si="12"/>
        <v>0</v>
      </c>
      <c r="S38" s="3"/>
      <c r="T38" s="8">
        <v>0</v>
      </c>
      <c r="U38" s="3"/>
      <c r="V38" s="7">
        <f t="shared" si="13"/>
        <v>0</v>
      </c>
      <c r="W38" s="3"/>
      <c r="X38" s="8">
        <f t="shared" si="14"/>
        <v>0</v>
      </c>
      <c r="Y38" s="3"/>
      <c r="Z38" s="7">
        <f t="shared" si="15"/>
        <v>0</v>
      </c>
    </row>
    <row r="39" spans="1:26" s="70" customFormat="1" ht="15" hidden="1" customHeight="1" outlineLevel="2" x14ac:dyDescent="0.25">
      <c r="A39" s="25"/>
      <c r="B39" s="12" t="str">
        <f>CONCATENATE("          ","6116"," - ","EDUCATIONAL BENEFITS")</f>
        <v xml:space="preserve">          6116 - EDUCATIONAL BENEFITS</v>
      </c>
      <c r="C39" s="12"/>
      <c r="D39" s="8"/>
      <c r="E39" s="3"/>
      <c r="F39" s="7">
        <f t="shared" si="8"/>
        <v>0</v>
      </c>
      <c r="G39" s="3"/>
      <c r="H39" s="8">
        <v>0</v>
      </c>
      <c r="I39" s="3"/>
      <c r="J39" s="7">
        <f t="shared" si="9"/>
        <v>0</v>
      </c>
      <c r="K39" s="3"/>
      <c r="L39" s="8">
        <f t="shared" si="10"/>
        <v>0</v>
      </c>
      <c r="M39" s="3"/>
      <c r="N39" s="7">
        <f t="shared" si="11"/>
        <v>0</v>
      </c>
      <c r="O39" s="12"/>
      <c r="P39" s="8"/>
      <c r="Q39" s="3"/>
      <c r="R39" s="7">
        <f t="shared" si="12"/>
        <v>0</v>
      </c>
      <c r="S39" s="3"/>
      <c r="T39" s="8">
        <v>0</v>
      </c>
      <c r="U39" s="3"/>
      <c r="V39" s="7">
        <f t="shared" si="13"/>
        <v>0</v>
      </c>
      <c r="W39" s="3"/>
      <c r="X39" s="8">
        <f t="shared" si="14"/>
        <v>0</v>
      </c>
      <c r="Y39" s="3"/>
      <c r="Z39" s="7">
        <f t="shared" si="15"/>
        <v>0</v>
      </c>
    </row>
    <row r="40" spans="1:26" s="70" customFormat="1" ht="15" hidden="1" customHeight="1" outlineLevel="2" x14ac:dyDescent="0.25">
      <c r="A40" s="25"/>
      <c r="B40" s="12" t="str">
        <f>CONCATENATE("          ","6118"," - ","VACATION")</f>
        <v xml:space="preserve">          6118 - VACATION</v>
      </c>
      <c r="C40" s="12"/>
      <c r="D40" s="8">
        <v>147.84</v>
      </c>
      <c r="E40" s="3"/>
      <c r="F40" s="7">
        <f t="shared" si="8"/>
        <v>1.0593080677659092E-2</v>
      </c>
      <c r="G40" s="3"/>
      <c r="H40" s="8">
        <v>0</v>
      </c>
      <c r="I40" s="3"/>
      <c r="J40" s="7">
        <f t="shared" si="9"/>
        <v>0</v>
      </c>
      <c r="K40" s="3"/>
      <c r="L40" s="8">
        <f t="shared" si="10"/>
        <v>147.84</v>
      </c>
      <c r="M40" s="3"/>
      <c r="N40" s="7">
        <f t="shared" si="11"/>
        <v>0</v>
      </c>
      <c r="O40" s="12"/>
      <c r="P40" s="8">
        <v>221.76</v>
      </c>
      <c r="Q40" s="3"/>
      <c r="R40" s="7">
        <f t="shared" si="12"/>
        <v>9.2148078671422167E-4</v>
      </c>
      <c r="S40" s="3"/>
      <c r="T40" s="8">
        <v>0</v>
      </c>
      <c r="U40" s="3"/>
      <c r="V40" s="7">
        <f t="shared" si="13"/>
        <v>0</v>
      </c>
      <c r="W40" s="3"/>
      <c r="X40" s="8">
        <f t="shared" si="14"/>
        <v>221.76</v>
      </c>
      <c r="Y40" s="3"/>
      <c r="Z40" s="7">
        <f t="shared" si="15"/>
        <v>0</v>
      </c>
    </row>
    <row r="41" spans="1:26" s="70" customFormat="1" ht="15" hidden="1" customHeight="1" outlineLevel="2" x14ac:dyDescent="0.25">
      <c r="A41" s="25"/>
      <c r="B41" s="12" t="str">
        <f>CONCATENATE("          ","6119"," - ","SICK LEAVE")</f>
        <v xml:space="preserve">          6119 - SICK LEAVE</v>
      </c>
      <c r="C41" s="12"/>
      <c r="D41" s="8">
        <v>177.12</v>
      </c>
      <c r="E41" s="3"/>
      <c r="F41" s="7">
        <f t="shared" si="8"/>
        <v>1.2691060941740924E-2</v>
      </c>
      <c r="G41" s="3"/>
      <c r="H41" s="8">
        <v>302.38200000000001</v>
      </c>
      <c r="I41" s="3"/>
      <c r="J41" s="7">
        <f t="shared" si="9"/>
        <v>2.2652033860214249E-2</v>
      </c>
      <c r="K41" s="3"/>
      <c r="L41" s="8">
        <f t="shared" si="10"/>
        <v>-125.262</v>
      </c>
      <c r="M41" s="3"/>
      <c r="N41" s="7">
        <f t="shared" si="11"/>
        <v>-0.41425084826477765</v>
      </c>
      <c r="O41" s="12"/>
      <c r="P41" s="8">
        <v>265.68</v>
      </c>
      <c r="Q41" s="3"/>
      <c r="R41" s="7">
        <f t="shared" si="12"/>
        <v>1.1039818516154151E-3</v>
      </c>
      <c r="S41" s="3"/>
      <c r="T41" s="8">
        <v>3500.0010000000002</v>
      </c>
      <c r="U41" s="3"/>
      <c r="V41" s="7">
        <f t="shared" si="13"/>
        <v>7.3445649185907673E-3</v>
      </c>
      <c r="W41" s="3"/>
      <c r="X41" s="8">
        <f t="shared" si="14"/>
        <v>-3234.3210000000004</v>
      </c>
      <c r="Y41" s="3"/>
      <c r="Z41" s="7">
        <f t="shared" si="15"/>
        <v>-0.92409145025958572</v>
      </c>
    </row>
    <row r="42" spans="1:26" s="70" customFormat="1" ht="15" hidden="1" customHeight="1" outlineLevel="2" x14ac:dyDescent="0.25">
      <c r="A42" s="25"/>
      <c r="B42" s="12" t="str">
        <f>CONCATENATE("          ","6156"," - ","EMPLOYEE MEALS")</f>
        <v xml:space="preserve">          6156 - EMPLOYEE MEALS</v>
      </c>
      <c r="C42" s="12"/>
      <c r="D42" s="8">
        <v>194.69</v>
      </c>
      <c r="E42" s="3"/>
      <c r="F42" s="7">
        <f t="shared" si="8"/>
        <v>1.394999240485287E-2</v>
      </c>
      <c r="G42" s="3"/>
      <c r="H42" s="8"/>
      <c r="I42" s="3"/>
      <c r="J42" s="7">
        <f t="shared" si="9"/>
        <v>0</v>
      </c>
      <c r="K42" s="3"/>
      <c r="L42" s="8">
        <f t="shared" si="10"/>
        <v>194.69</v>
      </c>
      <c r="M42" s="3"/>
      <c r="N42" s="7">
        <f t="shared" si="11"/>
        <v>0</v>
      </c>
      <c r="O42" s="12"/>
      <c r="P42" s="8">
        <v>225.44</v>
      </c>
      <c r="Q42" s="3"/>
      <c r="R42" s="7">
        <f t="shared" si="12"/>
        <v>9.3677231492087908E-4</v>
      </c>
      <c r="S42" s="3"/>
      <c r="T42" s="8"/>
      <c r="U42" s="3"/>
      <c r="V42" s="7">
        <f t="shared" si="13"/>
        <v>0</v>
      </c>
      <c r="W42" s="3"/>
      <c r="X42" s="8">
        <f t="shared" si="14"/>
        <v>225.44</v>
      </c>
      <c r="Y42" s="3"/>
      <c r="Z42" s="7">
        <f t="shared" si="15"/>
        <v>0</v>
      </c>
    </row>
    <row r="43" spans="1:26" s="69" customFormat="1" ht="15" customHeight="1" outlineLevel="1" collapsed="1" x14ac:dyDescent="0.25">
      <c r="A43" s="26"/>
      <c r="B43" s="14" t="str">
        <f>CONCATENATE("     ","*Payroll                                          ")</f>
        <v xml:space="preserve">     *Payroll                                          </v>
      </c>
      <c r="C43" s="14"/>
      <c r="D43" s="2">
        <f>SUM(OSRRefD22_1x_0)</f>
        <v>6128.2999999999993</v>
      </c>
      <c r="E43" s="2"/>
      <c r="F43" s="6">
        <f t="shared" si="8"/>
        <v>0.43910698266300185</v>
      </c>
      <c r="G43" s="2"/>
      <c r="H43" s="2">
        <f>SUM(OSRRefH22_1x_0)</f>
        <v>8607.08</v>
      </c>
      <c r="I43" s="2"/>
      <c r="J43" s="6">
        <f t="shared" si="9"/>
        <v>0.64477339126526334</v>
      </c>
      <c r="K43" s="2"/>
      <c r="L43" s="2">
        <f t="shared" si="10"/>
        <v>-2478.7800000000007</v>
      </c>
      <c r="M43" s="2"/>
      <c r="N43" s="6">
        <f t="shared" si="11"/>
        <v>-0.28799314053081887</v>
      </c>
      <c r="O43" s="14"/>
      <c r="P43" s="2">
        <f>SUM(OSRRefP22_1x_0)</f>
        <v>47306.909999999996</v>
      </c>
      <c r="Q43" s="2"/>
      <c r="R43" s="6">
        <f t="shared" si="12"/>
        <v>0.19657471430293508</v>
      </c>
      <c r="S43" s="2"/>
      <c r="T43" s="2">
        <f>SUM(OSRRefT22_1x_0)</f>
        <v>99624.94</v>
      </c>
      <c r="U43" s="2"/>
      <c r="V43" s="6">
        <f t="shared" si="13"/>
        <v>0.20905760865231471</v>
      </c>
      <c r="W43" s="2"/>
      <c r="X43" s="2">
        <f t="shared" si="14"/>
        <v>-52318.030000000006</v>
      </c>
      <c r="Y43" s="2"/>
      <c r="Z43" s="6">
        <f t="shared" si="15"/>
        <v>-0.52514992731739663</v>
      </c>
    </row>
    <row r="44" spans="1:26" s="70" customFormat="1" ht="15" hidden="1" customHeight="1" outlineLevel="2" x14ac:dyDescent="0.25">
      <c r="A44" s="25"/>
      <c r="B44" s="12" t="str">
        <f>CONCATENATE("          ","6001"," - ","ADMINISTRATIVE SALARIES")</f>
        <v xml:space="preserve">          6001 - ADMINISTRATIVE SALARIES</v>
      </c>
      <c r="C44" s="12"/>
      <c r="D44" s="8"/>
      <c r="E44" s="3"/>
      <c r="F44" s="7">
        <f t="shared" si="8"/>
        <v>0</v>
      </c>
      <c r="G44" s="3"/>
      <c r="H44" s="8">
        <v>0</v>
      </c>
      <c r="I44" s="3"/>
      <c r="J44" s="7">
        <f t="shared" si="9"/>
        <v>0</v>
      </c>
      <c r="K44" s="3"/>
      <c r="L44" s="8">
        <f t="shared" si="10"/>
        <v>0</v>
      </c>
      <c r="M44" s="3"/>
      <c r="N44" s="7">
        <f t="shared" si="11"/>
        <v>0</v>
      </c>
      <c r="O44" s="12"/>
      <c r="P44" s="8"/>
      <c r="Q44" s="3"/>
      <c r="R44" s="7">
        <f t="shared" si="12"/>
        <v>0</v>
      </c>
      <c r="S44" s="3"/>
      <c r="T44" s="8">
        <v>0</v>
      </c>
      <c r="U44" s="3"/>
      <c r="V44" s="7">
        <f t="shared" si="13"/>
        <v>0</v>
      </c>
      <c r="W44" s="3"/>
      <c r="X44" s="8">
        <f t="shared" si="14"/>
        <v>0</v>
      </c>
      <c r="Y44" s="3"/>
      <c r="Z44" s="7">
        <f t="shared" si="15"/>
        <v>0</v>
      </c>
    </row>
    <row r="45" spans="1:26" s="70" customFormat="1" ht="15" hidden="1" customHeight="1" outlineLevel="2" x14ac:dyDescent="0.25">
      <c r="A45" s="25"/>
      <c r="B45" s="12" t="str">
        <f>CONCATENATE("          ","6002"," - ","STAFF SALARIES")</f>
        <v xml:space="preserve">          6002 - STAFF SALARIES</v>
      </c>
      <c r="C45" s="12"/>
      <c r="D45" s="8"/>
      <c r="E45" s="3"/>
      <c r="F45" s="7">
        <f t="shared" si="8"/>
        <v>0</v>
      </c>
      <c r="G45" s="3"/>
      <c r="H45" s="8">
        <v>0</v>
      </c>
      <c r="I45" s="3"/>
      <c r="J45" s="7">
        <f t="shared" si="9"/>
        <v>0</v>
      </c>
      <c r="K45" s="3"/>
      <c r="L45" s="8">
        <f t="shared" si="10"/>
        <v>0</v>
      </c>
      <c r="M45" s="3"/>
      <c r="N45" s="7">
        <f t="shared" si="11"/>
        <v>0</v>
      </c>
      <c r="O45" s="12"/>
      <c r="P45" s="8"/>
      <c r="Q45" s="3"/>
      <c r="R45" s="7">
        <f t="shared" si="12"/>
        <v>0</v>
      </c>
      <c r="S45" s="3"/>
      <c r="T45" s="8">
        <v>0</v>
      </c>
      <c r="U45" s="3"/>
      <c r="V45" s="7">
        <f t="shared" si="13"/>
        <v>0</v>
      </c>
      <c r="W45" s="3"/>
      <c r="X45" s="8">
        <f t="shared" si="14"/>
        <v>0</v>
      </c>
      <c r="Y45" s="3"/>
      <c r="Z45" s="7">
        <f t="shared" si="15"/>
        <v>0</v>
      </c>
    </row>
    <row r="46" spans="1:26" s="70" customFormat="1" ht="15" hidden="1" customHeight="1" outlineLevel="2" x14ac:dyDescent="0.25">
      <c r="A46" s="25"/>
      <c r="B46" s="12" t="str">
        <f>CONCATENATE("          ","6003"," - ","STAFF HOURLY-9 MONTH")</f>
        <v xml:space="preserve">          6003 - STAFF HOURLY-9 MONTH</v>
      </c>
      <c r="C46" s="12"/>
      <c r="D46" s="8"/>
      <c r="E46" s="3"/>
      <c r="F46" s="7">
        <f t="shared" si="8"/>
        <v>0</v>
      </c>
      <c r="G46" s="3"/>
      <c r="H46" s="8">
        <v>0</v>
      </c>
      <c r="I46" s="3"/>
      <c r="J46" s="7">
        <f t="shared" si="9"/>
        <v>0</v>
      </c>
      <c r="K46" s="3"/>
      <c r="L46" s="8">
        <f t="shared" si="10"/>
        <v>0</v>
      </c>
      <c r="M46" s="3"/>
      <c r="N46" s="7">
        <f t="shared" si="11"/>
        <v>0</v>
      </c>
      <c r="O46" s="12"/>
      <c r="P46" s="8"/>
      <c r="Q46" s="3"/>
      <c r="R46" s="7">
        <f t="shared" si="12"/>
        <v>0</v>
      </c>
      <c r="S46" s="3"/>
      <c r="T46" s="8">
        <v>0</v>
      </c>
      <c r="U46" s="3"/>
      <c r="V46" s="7">
        <f t="shared" si="13"/>
        <v>0</v>
      </c>
      <c r="W46" s="3"/>
      <c r="X46" s="8">
        <f t="shared" si="14"/>
        <v>0</v>
      </c>
      <c r="Y46" s="3"/>
      <c r="Z46" s="7">
        <f t="shared" si="15"/>
        <v>0</v>
      </c>
    </row>
    <row r="47" spans="1:26" s="70" customFormat="1" ht="15" hidden="1" customHeight="1" outlineLevel="2" x14ac:dyDescent="0.25">
      <c r="A47" s="25"/>
      <c r="B47" s="12" t="str">
        <f>CONCATENATE("          ","6004"," - ","STAFF HOURLY")</f>
        <v xml:space="preserve">          6004 - STAFF HOURLY</v>
      </c>
      <c r="C47" s="12"/>
      <c r="D47" s="8">
        <v>3261.84</v>
      </c>
      <c r="E47" s="3"/>
      <c r="F47" s="7">
        <f t="shared" si="8"/>
        <v>0.23371844073062453</v>
      </c>
      <c r="G47" s="3"/>
      <c r="H47" s="8">
        <v>1951.68</v>
      </c>
      <c r="I47" s="3"/>
      <c r="J47" s="7">
        <f t="shared" si="9"/>
        <v>0.14620421005318751</v>
      </c>
      <c r="K47" s="3"/>
      <c r="L47" s="8">
        <f t="shared" si="10"/>
        <v>1310.1600000000001</v>
      </c>
      <c r="M47" s="3"/>
      <c r="N47" s="7">
        <f t="shared" si="11"/>
        <v>0.67129857353664535</v>
      </c>
      <c r="O47" s="12"/>
      <c r="P47" s="8">
        <v>5779.33</v>
      </c>
      <c r="Q47" s="3"/>
      <c r="R47" s="7">
        <f t="shared" si="12"/>
        <v>2.4014887964831814E-2</v>
      </c>
      <c r="S47" s="3"/>
      <c r="T47" s="8">
        <v>22590.240000000002</v>
      </c>
      <c r="U47" s="3"/>
      <c r="V47" s="7">
        <f t="shared" si="13"/>
        <v>4.7404410514895828E-2</v>
      </c>
      <c r="W47" s="3"/>
      <c r="X47" s="8">
        <f t="shared" si="14"/>
        <v>-16810.910000000003</v>
      </c>
      <c r="Y47" s="3"/>
      <c r="Z47" s="7">
        <f t="shared" si="15"/>
        <v>-0.74416694997485655</v>
      </c>
    </row>
    <row r="48" spans="1:26" s="70" customFormat="1" ht="15" hidden="1" customHeight="1" outlineLevel="2" x14ac:dyDescent="0.25">
      <c r="A48" s="25"/>
      <c r="B48" s="12" t="str">
        <f>CONCATENATE("          ","6005"," - ","TEMPORARY WAGES-HOURLY")</f>
        <v xml:space="preserve">          6005 - TEMPORARY WAGES-HOURLY</v>
      </c>
      <c r="C48" s="12"/>
      <c r="D48" s="8"/>
      <c r="E48" s="3"/>
      <c r="F48" s="7">
        <f t="shared" si="8"/>
        <v>0</v>
      </c>
      <c r="G48" s="3"/>
      <c r="H48" s="8">
        <v>0</v>
      </c>
      <c r="I48" s="3"/>
      <c r="J48" s="7">
        <f t="shared" si="9"/>
        <v>0</v>
      </c>
      <c r="K48" s="3"/>
      <c r="L48" s="8">
        <f t="shared" si="10"/>
        <v>0</v>
      </c>
      <c r="M48" s="3"/>
      <c r="N48" s="7">
        <f t="shared" si="11"/>
        <v>0</v>
      </c>
      <c r="O48" s="12"/>
      <c r="P48" s="8">
        <v>5808.94</v>
      </c>
      <c r="Q48" s="3"/>
      <c r="R48" s="7">
        <f t="shared" si="12"/>
        <v>2.4137926592603314E-2</v>
      </c>
      <c r="S48" s="3"/>
      <c r="T48" s="8">
        <v>0</v>
      </c>
      <c r="U48" s="3"/>
      <c r="V48" s="7">
        <f t="shared" si="13"/>
        <v>0</v>
      </c>
      <c r="W48" s="3"/>
      <c r="X48" s="8">
        <f t="shared" si="14"/>
        <v>5808.94</v>
      </c>
      <c r="Y48" s="3"/>
      <c r="Z48" s="7">
        <f t="shared" si="15"/>
        <v>0</v>
      </c>
    </row>
    <row r="49" spans="1:26" s="70" customFormat="1" ht="15" hidden="1" customHeight="1" outlineLevel="2" x14ac:dyDescent="0.25">
      <c r="A49" s="25"/>
      <c r="B49" s="12" t="str">
        <f>CONCATENATE("          ","6006"," - ","TEMPORARY PART TIME")</f>
        <v xml:space="preserve">          6006 - TEMPORARY PART TIME</v>
      </c>
      <c r="C49" s="12"/>
      <c r="D49" s="8"/>
      <c r="E49" s="3"/>
      <c r="F49" s="7">
        <f t="shared" si="8"/>
        <v>0</v>
      </c>
      <c r="G49" s="3"/>
      <c r="H49" s="8">
        <v>0</v>
      </c>
      <c r="I49" s="3"/>
      <c r="J49" s="7">
        <f t="shared" si="9"/>
        <v>0</v>
      </c>
      <c r="K49" s="3"/>
      <c r="L49" s="8">
        <f t="shared" si="10"/>
        <v>0</v>
      </c>
      <c r="M49" s="3"/>
      <c r="N49" s="7">
        <f t="shared" si="11"/>
        <v>0</v>
      </c>
      <c r="O49" s="12"/>
      <c r="P49" s="8"/>
      <c r="Q49" s="3"/>
      <c r="R49" s="7">
        <f t="shared" si="12"/>
        <v>0</v>
      </c>
      <c r="S49" s="3"/>
      <c r="T49" s="8">
        <v>0</v>
      </c>
      <c r="U49" s="3"/>
      <c r="V49" s="7">
        <f t="shared" si="13"/>
        <v>0</v>
      </c>
      <c r="W49" s="3"/>
      <c r="X49" s="8">
        <f t="shared" si="14"/>
        <v>0</v>
      </c>
      <c r="Y49" s="3"/>
      <c r="Z49" s="7">
        <f t="shared" si="15"/>
        <v>0</v>
      </c>
    </row>
    <row r="50" spans="1:26" s="70" customFormat="1" ht="15" hidden="1" customHeight="1" outlineLevel="2" x14ac:dyDescent="0.25">
      <c r="A50" s="25"/>
      <c r="B50" s="12" t="str">
        <f>CONCATENATE("          ","6007"," - ","STUDENT HOURLY")</f>
        <v xml:space="preserve">          6007 - STUDENT HOURLY</v>
      </c>
      <c r="C50" s="12"/>
      <c r="D50" s="8">
        <v>2545.98</v>
      </c>
      <c r="E50" s="3"/>
      <c r="F50" s="7">
        <f t="shared" si="8"/>
        <v>0.18242540275775496</v>
      </c>
      <c r="G50" s="3"/>
      <c r="H50" s="8">
        <v>0</v>
      </c>
      <c r="I50" s="3"/>
      <c r="J50" s="7">
        <f t="shared" si="9"/>
        <v>0</v>
      </c>
      <c r="K50" s="3"/>
      <c r="L50" s="8">
        <f t="shared" si="10"/>
        <v>2545.98</v>
      </c>
      <c r="M50" s="3"/>
      <c r="N50" s="7">
        <f t="shared" si="11"/>
        <v>0</v>
      </c>
      <c r="O50" s="12"/>
      <c r="P50" s="8">
        <v>29195.26</v>
      </c>
      <c r="Q50" s="3"/>
      <c r="R50" s="7">
        <f t="shared" si="12"/>
        <v>0.12131525592138459</v>
      </c>
      <c r="S50" s="3"/>
      <c r="T50" s="8">
        <v>13995</v>
      </c>
      <c r="U50" s="3"/>
      <c r="V50" s="7">
        <f t="shared" si="13"/>
        <v>2.9367759047976782E-2</v>
      </c>
      <c r="W50" s="3"/>
      <c r="X50" s="8">
        <f t="shared" si="14"/>
        <v>15200.259999999998</v>
      </c>
      <c r="Y50" s="3"/>
      <c r="Z50" s="7">
        <f t="shared" si="15"/>
        <v>1.0861207574133618</v>
      </c>
    </row>
    <row r="51" spans="1:26" s="70" customFormat="1" ht="15" hidden="1" customHeight="1" outlineLevel="2" x14ac:dyDescent="0.25">
      <c r="A51" s="25"/>
      <c r="B51" s="12" t="str">
        <f>CONCATENATE("          ","6008"," - ","STUDENT HOURLY-FICA EXEMPT")</f>
        <v xml:space="preserve">          6008 - STUDENT HOURLY-FICA EXEMPT</v>
      </c>
      <c r="C51" s="12"/>
      <c r="D51" s="8">
        <v>320.48</v>
      </c>
      <c r="E51" s="3"/>
      <c r="F51" s="7">
        <f t="shared" si="8"/>
        <v>2.2963139174622466E-2</v>
      </c>
      <c r="G51" s="3"/>
      <c r="H51" s="8">
        <v>6655.4</v>
      </c>
      <c r="I51" s="3"/>
      <c r="J51" s="7">
        <f t="shared" si="9"/>
        <v>0.49856918121207577</v>
      </c>
      <c r="K51" s="3"/>
      <c r="L51" s="8">
        <f t="shared" si="10"/>
        <v>-6334.92</v>
      </c>
      <c r="M51" s="3"/>
      <c r="N51" s="7">
        <f t="shared" si="11"/>
        <v>-0.95184662078913373</v>
      </c>
      <c r="O51" s="12"/>
      <c r="P51" s="8">
        <v>6523.38</v>
      </c>
      <c r="Q51" s="3"/>
      <c r="R51" s="7">
        <f t="shared" si="12"/>
        <v>2.7106643824115349E-2</v>
      </c>
      <c r="S51" s="3"/>
      <c r="T51" s="8">
        <v>63039.7</v>
      </c>
      <c r="U51" s="3"/>
      <c r="V51" s="7">
        <f t="shared" si="13"/>
        <v>0.13228543908944207</v>
      </c>
      <c r="W51" s="3"/>
      <c r="X51" s="8">
        <f t="shared" si="14"/>
        <v>-56516.32</v>
      </c>
      <c r="Y51" s="3"/>
      <c r="Z51" s="7">
        <f t="shared" si="15"/>
        <v>-0.8965194948580022</v>
      </c>
    </row>
    <row r="52" spans="1:26" s="70" customFormat="1" ht="15" hidden="1" customHeight="1" outlineLevel="2" x14ac:dyDescent="0.25">
      <c r="A52" s="25"/>
      <c r="B52" s="12" t="str">
        <f>CONCATENATE("          ","6009"," - ","TEMPORARY-SEASONAL")</f>
        <v xml:space="preserve">          6009 - TEMPORARY-SEASONAL</v>
      </c>
      <c r="C52" s="12"/>
      <c r="D52" s="8"/>
      <c r="E52" s="3"/>
      <c r="F52" s="7">
        <f t="shared" si="8"/>
        <v>0</v>
      </c>
      <c r="G52" s="3"/>
      <c r="H52" s="8">
        <v>0</v>
      </c>
      <c r="I52" s="3"/>
      <c r="J52" s="7">
        <f t="shared" si="9"/>
        <v>0</v>
      </c>
      <c r="K52" s="3"/>
      <c r="L52" s="8">
        <f t="shared" si="10"/>
        <v>0</v>
      </c>
      <c r="M52" s="3"/>
      <c r="N52" s="7">
        <f t="shared" si="11"/>
        <v>0</v>
      </c>
      <c r="O52" s="12"/>
      <c r="P52" s="8"/>
      <c r="Q52" s="3"/>
      <c r="R52" s="7">
        <f t="shared" si="12"/>
        <v>0</v>
      </c>
      <c r="S52" s="3"/>
      <c r="T52" s="8">
        <v>0</v>
      </c>
      <c r="U52" s="3"/>
      <c r="V52" s="7">
        <f t="shared" si="13"/>
        <v>0</v>
      </c>
      <c r="W52" s="3"/>
      <c r="X52" s="8">
        <f t="shared" si="14"/>
        <v>0</v>
      </c>
      <c r="Y52" s="3"/>
      <c r="Z52" s="7">
        <f t="shared" si="15"/>
        <v>0</v>
      </c>
    </row>
    <row r="53" spans="1:26" s="70" customFormat="1" ht="15" hidden="1" customHeight="1" outlineLevel="2" x14ac:dyDescent="0.25">
      <c r="A53" s="25"/>
      <c r="B53" s="12" t="str">
        <f>CONCATENATE("          ","6010"," - ","GRATUITY")</f>
        <v xml:space="preserve">          6010 - GRATUITY</v>
      </c>
      <c r="C53" s="12"/>
      <c r="D53" s="8"/>
      <c r="E53" s="3"/>
      <c r="F53" s="7">
        <f t="shared" si="8"/>
        <v>0</v>
      </c>
      <c r="G53" s="3"/>
      <c r="H53" s="8">
        <v>0</v>
      </c>
      <c r="I53" s="3"/>
      <c r="J53" s="7">
        <f t="shared" si="9"/>
        <v>0</v>
      </c>
      <c r="K53" s="3"/>
      <c r="L53" s="8">
        <f t="shared" si="10"/>
        <v>0</v>
      </c>
      <c r="M53" s="3"/>
      <c r="N53" s="7">
        <f t="shared" si="11"/>
        <v>0</v>
      </c>
      <c r="O53" s="12"/>
      <c r="P53" s="8"/>
      <c r="Q53" s="3"/>
      <c r="R53" s="7">
        <f t="shared" si="12"/>
        <v>0</v>
      </c>
      <c r="S53" s="3"/>
      <c r="T53" s="8">
        <v>0</v>
      </c>
      <c r="U53" s="3"/>
      <c r="V53" s="7">
        <f t="shared" si="13"/>
        <v>0</v>
      </c>
      <c r="W53" s="3"/>
      <c r="X53" s="8">
        <f t="shared" si="14"/>
        <v>0</v>
      </c>
      <c r="Y53" s="3"/>
      <c r="Z53" s="7">
        <f t="shared" si="15"/>
        <v>0</v>
      </c>
    </row>
    <row r="54" spans="1:26" s="69" customFormat="1" ht="15" customHeight="1" outlineLevel="1" collapsed="1" x14ac:dyDescent="0.25">
      <c r="A54" s="26"/>
      <c r="B54" s="14" t="str">
        <f>CONCATENATE("     ","Advertising/Promo                                 ")</f>
        <v xml:space="preserve">     Advertising/Promo                                 </v>
      </c>
      <c r="C54" s="14"/>
      <c r="D54" s="2">
        <f>SUM(OSRRefD22_2x_0)</f>
        <v>0</v>
      </c>
      <c r="E54" s="2"/>
      <c r="F54" s="6">
        <f t="shared" si="8"/>
        <v>0</v>
      </c>
      <c r="G54" s="2"/>
      <c r="H54" s="2">
        <f>SUM(OSRRefH22_2x_0)</f>
        <v>50</v>
      </c>
      <c r="I54" s="2"/>
      <c r="J54" s="6">
        <f t="shared" si="9"/>
        <v>3.7455989212675108E-3</v>
      </c>
      <c r="K54" s="2"/>
      <c r="L54" s="2">
        <f t="shared" si="10"/>
        <v>-50</v>
      </c>
      <c r="M54" s="2"/>
      <c r="N54" s="6">
        <f t="shared" si="11"/>
        <v>-1</v>
      </c>
      <c r="O54" s="14"/>
      <c r="P54" s="2">
        <f>SUM(OSRRefP22_2x_0)</f>
        <v>1669.12</v>
      </c>
      <c r="Q54" s="2"/>
      <c r="R54" s="6">
        <f t="shared" si="12"/>
        <v>6.9357053152978073E-3</v>
      </c>
      <c r="S54" s="2"/>
      <c r="T54" s="2">
        <f>SUM(OSRRefT22_2x_0)</f>
        <v>550</v>
      </c>
      <c r="U54" s="2"/>
      <c r="V54" s="6">
        <f t="shared" si="13"/>
        <v>1.1541455860226673E-3</v>
      </c>
      <c r="W54" s="2"/>
      <c r="X54" s="2">
        <f t="shared" si="14"/>
        <v>1119.1199999999999</v>
      </c>
      <c r="Y54" s="2"/>
      <c r="Z54" s="6">
        <f t="shared" si="15"/>
        <v>2.0347636363636363</v>
      </c>
    </row>
    <row r="55" spans="1:26" s="70" customFormat="1" ht="15" hidden="1" customHeight="1" outlineLevel="2" x14ac:dyDescent="0.25">
      <c r="A55" s="25"/>
      <c r="B55" s="12" t="str">
        <f>CONCATENATE("          ","6362"," - ","ADVERTISING EXPENSE")</f>
        <v xml:space="preserve">          6362 - ADVERTISING EXPENSE</v>
      </c>
      <c r="C55" s="12"/>
      <c r="D55" s="8"/>
      <c r="E55" s="3"/>
      <c r="F55" s="7">
        <f t="shared" si="8"/>
        <v>0</v>
      </c>
      <c r="G55" s="3"/>
      <c r="H55" s="8">
        <v>50</v>
      </c>
      <c r="I55" s="3"/>
      <c r="J55" s="7">
        <f t="shared" si="9"/>
        <v>3.7455989212675108E-3</v>
      </c>
      <c r="K55" s="3"/>
      <c r="L55" s="8">
        <f t="shared" si="10"/>
        <v>-50</v>
      </c>
      <c r="M55" s="3"/>
      <c r="N55" s="7">
        <f t="shared" si="11"/>
        <v>-1</v>
      </c>
      <c r="O55" s="12"/>
      <c r="P55" s="8">
        <v>1669.12</v>
      </c>
      <c r="Q55" s="3"/>
      <c r="R55" s="7">
        <f t="shared" si="12"/>
        <v>6.9357053152978073E-3</v>
      </c>
      <c r="S55" s="3"/>
      <c r="T55" s="8">
        <v>550</v>
      </c>
      <c r="U55" s="3"/>
      <c r="V55" s="7">
        <f t="shared" si="13"/>
        <v>1.1541455860226673E-3</v>
      </c>
      <c r="W55" s="3"/>
      <c r="X55" s="8">
        <f t="shared" si="14"/>
        <v>1119.1199999999999</v>
      </c>
      <c r="Y55" s="3"/>
      <c r="Z55" s="7">
        <f t="shared" si="15"/>
        <v>2.0347636363636363</v>
      </c>
    </row>
    <row r="56" spans="1:26" s="69" customFormat="1" ht="15" customHeight="1" outlineLevel="1" collapsed="1" x14ac:dyDescent="0.25">
      <c r="A56" s="26"/>
      <c r="B56" s="14" t="str">
        <f>CONCATENATE("     ","Bad Debts/Over/Short                              ")</f>
        <v xml:space="preserve">     Bad Debts/Over/Short                              </v>
      </c>
      <c r="C56" s="14"/>
      <c r="D56" s="2">
        <f>SUM(OSRRefD22_3x_0)</f>
        <v>-0.77</v>
      </c>
      <c r="E56" s="2"/>
      <c r="F56" s="6">
        <f t="shared" si="8"/>
        <v>-5.5172295196141097E-5</v>
      </c>
      <c r="G56" s="2"/>
      <c r="H56" s="2">
        <f>SUM(OSRRefH22_3x_0)</f>
        <v>25</v>
      </c>
      <c r="I56" s="2"/>
      <c r="J56" s="6">
        <f t="shared" si="9"/>
        <v>1.8727994606337554E-3</v>
      </c>
      <c r="K56" s="2"/>
      <c r="L56" s="2">
        <f t="shared" si="10"/>
        <v>-25.77</v>
      </c>
      <c r="M56" s="2"/>
      <c r="N56" s="6">
        <f t="shared" si="11"/>
        <v>-1.0307999999999999</v>
      </c>
      <c r="O56" s="14"/>
      <c r="P56" s="2">
        <f>SUM(OSRRefP22_3x_0)</f>
        <v>-8.7799999999999994</v>
      </c>
      <c r="Q56" s="2"/>
      <c r="R56" s="6">
        <f t="shared" si="12"/>
        <v>-3.6483591753927065E-5</v>
      </c>
      <c r="S56" s="2"/>
      <c r="T56" s="2">
        <f>SUM(OSRRefT22_3x_0)</f>
        <v>275</v>
      </c>
      <c r="U56" s="2"/>
      <c r="V56" s="6">
        <f t="shared" si="13"/>
        <v>5.7707279301133366E-4</v>
      </c>
      <c r="W56" s="2"/>
      <c r="X56" s="2">
        <f t="shared" si="14"/>
        <v>-283.77999999999997</v>
      </c>
      <c r="Y56" s="2"/>
      <c r="Z56" s="6">
        <f t="shared" si="15"/>
        <v>-1.0319272727272726</v>
      </c>
    </row>
    <row r="57" spans="1:26" s="70" customFormat="1" ht="15" hidden="1" customHeight="1" outlineLevel="2" x14ac:dyDescent="0.25">
      <c r="A57" s="25"/>
      <c r="B57" s="12" t="str">
        <f>CONCATENATE("          ","6272"," - ","CASH (OVER/SHORT)")</f>
        <v xml:space="preserve">          6272 - CASH (OVER/SHORT)</v>
      </c>
      <c r="C57" s="12"/>
      <c r="D57" s="8">
        <v>-0.77</v>
      </c>
      <c r="E57" s="3"/>
      <c r="F57" s="7">
        <f t="shared" si="8"/>
        <v>-5.5172295196141097E-5</v>
      </c>
      <c r="G57" s="3"/>
      <c r="H57" s="8">
        <v>25</v>
      </c>
      <c r="I57" s="3"/>
      <c r="J57" s="7">
        <f t="shared" si="9"/>
        <v>1.8727994606337554E-3</v>
      </c>
      <c r="K57" s="3"/>
      <c r="L57" s="8">
        <f t="shared" si="10"/>
        <v>-25.77</v>
      </c>
      <c r="M57" s="3"/>
      <c r="N57" s="7">
        <f t="shared" si="11"/>
        <v>-1.0307999999999999</v>
      </c>
      <c r="O57" s="12"/>
      <c r="P57" s="8">
        <v>-8.7799999999999994</v>
      </c>
      <c r="Q57" s="3"/>
      <c r="R57" s="7">
        <f t="shared" si="12"/>
        <v>-3.6483591753927065E-5</v>
      </c>
      <c r="S57" s="3"/>
      <c r="T57" s="8">
        <v>275</v>
      </c>
      <c r="U57" s="3"/>
      <c r="V57" s="7">
        <f t="shared" si="13"/>
        <v>5.7707279301133366E-4</v>
      </c>
      <c r="W57" s="3"/>
      <c r="X57" s="8">
        <f t="shared" si="14"/>
        <v>-283.77999999999997</v>
      </c>
      <c r="Y57" s="3"/>
      <c r="Z57" s="7">
        <f t="shared" si="15"/>
        <v>-1.0319272727272726</v>
      </c>
    </row>
    <row r="58" spans="1:26" s="69" customFormat="1" ht="15" customHeight="1" outlineLevel="1" collapsed="1" x14ac:dyDescent="0.25">
      <c r="A58" s="26"/>
      <c r="B58" s="14" t="str">
        <f>CONCATENATE("     ","Bank/card Fees                                    ")</f>
        <v xml:space="preserve">     Bank/card Fees                                    </v>
      </c>
      <c r="C58" s="14"/>
      <c r="D58" s="2">
        <f>SUM(OSRRefD22_4x_0)</f>
        <v>0</v>
      </c>
      <c r="E58" s="2"/>
      <c r="F58" s="6">
        <f t="shared" si="8"/>
        <v>0</v>
      </c>
      <c r="G58" s="2"/>
      <c r="H58" s="2">
        <f>SUM(OSRRefH22_4x_0)</f>
        <v>242</v>
      </c>
      <c r="I58" s="2"/>
      <c r="J58" s="6">
        <f t="shared" si="9"/>
        <v>1.8128698778934752E-2</v>
      </c>
      <c r="K58" s="2"/>
      <c r="L58" s="2">
        <f t="shared" si="10"/>
        <v>-242</v>
      </c>
      <c r="M58" s="2"/>
      <c r="N58" s="6">
        <f t="shared" si="11"/>
        <v>-1</v>
      </c>
      <c r="O58" s="14"/>
      <c r="P58" s="2">
        <f>SUM(OSRRefP22_4x_0)</f>
        <v>0</v>
      </c>
      <c r="Q58" s="2"/>
      <c r="R58" s="6">
        <f t="shared" si="12"/>
        <v>0</v>
      </c>
      <c r="S58" s="2"/>
      <c r="T58" s="2">
        <f>SUM(OSRRefT22_4x_0)</f>
        <v>8843</v>
      </c>
      <c r="U58" s="2"/>
      <c r="V58" s="6">
        <f t="shared" si="13"/>
        <v>1.8556562576724452E-2</v>
      </c>
      <c r="W58" s="2"/>
      <c r="X58" s="2">
        <f t="shared" si="14"/>
        <v>-8843</v>
      </c>
      <c r="Y58" s="2"/>
      <c r="Z58" s="6">
        <f t="shared" si="15"/>
        <v>-1</v>
      </c>
    </row>
    <row r="59" spans="1:26" s="70" customFormat="1" ht="15" hidden="1" customHeight="1" outlineLevel="2" x14ac:dyDescent="0.25">
      <c r="A59" s="25"/>
      <c r="B59" s="12" t="str">
        <f>CONCATENATE("          ","6381"," - ","BANK/CREDIT CARD FEES")</f>
        <v xml:space="preserve">          6381 - BANK/CREDIT CARD FEES</v>
      </c>
      <c r="C59" s="12"/>
      <c r="D59" s="8"/>
      <c r="E59" s="3"/>
      <c r="F59" s="7">
        <f t="shared" si="8"/>
        <v>0</v>
      </c>
      <c r="G59" s="3"/>
      <c r="H59" s="8">
        <v>242</v>
      </c>
      <c r="I59" s="3"/>
      <c r="J59" s="7">
        <f t="shared" si="9"/>
        <v>1.8128698778934752E-2</v>
      </c>
      <c r="K59" s="3"/>
      <c r="L59" s="8">
        <f t="shared" si="10"/>
        <v>-242</v>
      </c>
      <c r="M59" s="3"/>
      <c r="N59" s="7">
        <f t="shared" si="11"/>
        <v>-1</v>
      </c>
      <c r="O59" s="12"/>
      <c r="P59" s="8"/>
      <c r="Q59" s="3"/>
      <c r="R59" s="7">
        <f t="shared" si="12"/>
        <v>0</v>
      </c>
      <c r="S59" s="3"/>
      <c r="T59" s="8">
        <v>8843</v>
      </c>
      <c r="U59" s="3"/>
      <c r="V59" s="7">
        <f t="shared" si="13"/>
        <v>1.8556562576724452E-2</v>
      </c>
      <c r="W59" s="3"/>
      <c r="X59" s="8">
        <f t="shared" si="14"/>
        <v>-8843</v>
      </c>
      <c r="Y59" s="3"/>
      <c r="Z59" s="7">
        <f t="shared" si="15"/>
        <v>-1</v>
      </c>
    </row>
    <row r="60" spans="1:26" s="69" customFormat="1" ht="15" customHeight="1" outlineLevel="1" collapsed="1" x14ac:dyDescent="0.25">
      <c r="A60" s="26"/>
      <c r="B60" s="14" t="str">
        <f>CONCATENATE("     ","Discounts and Markdowns                           ")</f>
        <v xml:space="preserve">     Discounts and Markdowns                           </v>
      </c>
      <c r="C60" s="14"/>
      <c r="D60" s="2">
        <f>SUM(OSRRefD22_5x_0)</f>
        <v>-17.57</v>
      </c>
      <c r="E60" s="2"/>
      <c r="F60" s="6">
        <f t="shared" si="8"/>
        <v>-1.2589314631119468E-3</v>
      </c>
      <c r="G60" s="2"/>
      <c r="H60" s="2">
        <f>SUM(OSRRefH22_5x_0)</f>
        <v>0</v>
      </c>
      <c r="I60" s="2"/>
      <c r="J60" s="6">
        <f t="shared" si="9"/>
        <v>0</v>
      </c>
      <c r="K60" s="2"/>
      <c r="L60" s="2">
        <f t="shared" si="10"/>
        <v>-17.57</v>
      </c>
      <c r="M60" s="2"/>
      <c r="N60" s="6">
        <f t="shared" si="11"/>
        <v>0</v>
      </c>
      <c r="O60" s="14"/>
      <c r="P60" s="2">
        <f>SUM(OSRRefP22_5x_0)</f>
        <v>-39.1</v>
      </c>
      <c r="Q60" s="2"/>
      <c r="R60" s="6">
        <f t="shared" si="12"/>
        <v>-1.6247248719573445E-4</v>
      </c>
      <c r="S60" s="2"/>
      <c r="T60" s="2">
        <f>SUM(OSRRefT22_5x_0)</f>
        <v>0</v>
      </c>
      <c r="U60" s="2"/>
      <c r="V60" s="6">
        <f t="shared" si="13"/>
        <v>0</v>
      </c>
      <c r="W60" s="2"/>
      <c r="X60" s="2">
        <f t="shared" si="14"/>
        <v>-39.1</v>
      </c>
      <c r="Y60" s="2"/>
      <c r="Z60" s="6">
        <f t="shared" si="15"/>
        <v>0</v>
      </c>
    </row>
    <row r="61" spans="1:26" s="70" customFormat="1" ht="15" hidden="1" customHeight="1" outlineLevel="2" x14ac:dyDescent="0.25">
      <c r="A61" s="25"/>
      <c r="B61" s="12" t="str">
        <f>CONCATENATE("          ","6382"," - ","DISCOUNTS/MARK DOWNS")</f>
        <v xml:space="preserve">          6382 - DISCOUNTS/MARK DOWNS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/>
      <c r="Q61" s="3"/>
      <c r="R61" s="7">
        <f t="shared" si="12"/>
        <v>0</v>
      </c>
      <c r="S61" s="3"/>
      <c r="T61" s="8">
        <v>0</v>
      </c>
      <c r="U61" s="3"/>
      <c r="V61" s="7">
        <f t="shared" si="13"/>
        <v>0</v>
      </c>
      <c r="W61" s="3"/>
      <c r="X61" s="8">
        <f t="shared" si="14"/>
        <v>0</v>
      </c>
      <c r="Y61" s="3"/>
      <c r="Z61" s="7">
        <f t="shared" si="15"/>
        <v>0</v>
      </c>
    </row>
    <row r="62" spans="1:26" s="70" customFormat="1" ht="15" hidden="1" customHeight="1" outlineLevel="2" x14ac:dyDescent="0.25">
      <c r="A62" s="25"/>
      <c r="B62" s="12" t="str">
        <f>CONCATENATE("          ","9175"," - ","EARNED DISCOUNTS")</f>
        <v xml:space="preserve">          9175 - EARNED DISCOUNTS</v>
      </c>
      <c r="C62" s="12"/>
      <c r="D62" s="8">
        <v>-17.57</v>
      </c>
      <c r="E62" s="3"/>
      <c r="F62" s="7">
        <f t="shared" si="8"/>
        <v>-1.2589314631119468E-3</v>
      </c>
      <c r="G62" s="3"/>
      <c r="H62" s="8"/>
      <c r="I62" s="3"/>
      <c r="J62" s="7">
        <f t="shared" si="9"/>
        <v>0</v>
      </c>
      <c r="K62" s="3"/>
      <c r="L62" s="8">
        <f t="shared" si="10"/>
        <v>-17.57</v>
      </c>
      <c r="M62" s="3"/>
      <c r="N62" s="7">
        <f t="shared" si="11"/>
        <v>0</v>
      </c>
      <c r="O62" s="12"/>
      <c r="P62" s="8">
        <v>-39.1</v>
      </c>
      <c r="Q62" s="3"/>
      <c r="R62" s="7">
        <f t="shared" si="12"/>
        <v>-1.6247248719573445E-4</v>
      </c>
      <c r="S62" s="3"/>
      <c r="T62" s="8"/>
      <c r="U62" s="3"/>
      <c r="V62" s="7">
        <f t="shared" si="13"/>
        <v>0</v>
      </c>
      <c r="W62" s="3"/>
      <c r="X62" s="8">
        <f t="shared" si="14"/>
        <v>-39.1</v>
      </c>
      <c r="Y62" s="3"/>
      <c r="Z62" s="7">
        <f t="shared" si="15"/>
        <v>0</v>
      </c>
    </row>
    <row r="63" spans="1:26" s="69" customFormat="1" ht="15" customHeight="1" outlineLevel="1" collapsed="1" x14ac:dyDescent="0.25">
      <c r="A63" s="26"/>
      <c r="B63" s="14" t="str">
        <f>CONCATENATE("     ","Freight out/Postage                               ")</f>
        <v xml:space="preserve">     Freight out/Postage                               </v>
      </c>
      <c r="C63" s="14"/>
      <c r="D63" s="2">
        <f>SUM(OSRRefD22_6x_0)</f>
        <v>0</v>
      </c>
      <c r="E63" s="2"/>
      <c r="F63" s="6">
        <f t="shared" si="8"/>
        <v>0</v>
      </c>
      <c r="G63" s="2"/>
      <c r="H63" s="2">
        <f>SUM(OSRRefH22_6x_0)</f>
        <v>0</v>
      </c>
      <c r="I63" s="2"/>
      <c r="J63" s="6">
        <f t="shared" si="9"/>
        <v>0</v>
      </c>
      <c r="K63" s="2"/>
      <c r="L63" s="2">
        <f t="shared" si="10"/>
        <v>0</v>
      </c>
      <c r="M63" s="2"/>
      <c r="N63" s="6">
        <f t="shared" si="11"/>
        <v>0</v>
      </c>
      <c r="O63" s="14"/>
      <c r="P63" s="2">
        <f>SUM(OSRRefP22_6x_0)</f>
        <v>54.5</v>
      </c>
      <c r="Q63" s="2"/>
      <c r="R63" s="6">
        <f t="shared" si="12"/>
        <v>2.2646420849533317E-4</v>
      </c>
      <c r="S63" s="2"/>
      <c r="T63" s="2">
        <f>SUM(OSRRefT22_6x_0)</f>
        <v>0</v>
      </c>
      <c r="U63" s="2"/>
      <c r="V63" s="6">
        <f t="shared" si="13"/>
        <v>0</v>
      </c>
      <c r="W63" s="2"/>
      <c r="X63" s="2">
        <f t="shared" si="14"/>
        <v>54.5</v>
      </c>
      <c r="Y63" s="2"/>
      <c r="Z63" s="6">
        <f t="shared" si="15"/>
        <v>0</v>
      </c>
    </row>
    <row r="64" spans="1:26" s="70" customFormat="1" ht="15" hidden="1" customHeight="1" outlineLevel="2" x14ac:dyDescent="0.25">
      <c r="A64" s="25"/>
      <c r="B64" s="12" t="str">
        <f>CONCATENATE("          ","6307"," - ","POSTAGE")</f>
        <v xml:space="preserve">          6307 - POSTAGE</v>
      </c>
      <c r="C64" s="12"/>
      <c r="D64" s="8"/>
      <c r="E64" s="3"/>
      <c r="F64" s="7">
        <f t="shared" ref="F64:F83" si="16">IF(D$12=0,0,D64/D$12)</f>
        <v>0</v>
      </c>
      <c r="G64" s="3"/>
      <c r="H64" s="8"/>
      <c r="I64" s="3"/>
      <c r="J64" s="7">
        <f t="shared" ref="J64:J83" si="17">IF(H$12=0,0,H64/H$12)</f>
        <v>0</v>
      </c>
      <c r="K64" s="3"/>
      <c r="L64" s="8">
        <f t="shared" ref="L64:L83" si="18">+D64-H64</f>
        <v>0</v>
      </c>
      <c r="M64" s="3"/>
      <c r="N64" s="7">
        <f t="shared" ref="N64:N83" si="19">IF(H64=0,0,L64/H64)</f>
        <v>0</v>
      </c>
      <c r="O64" s="12"/>
      <c r="P64" s="8">
        <v>54.5</v>
      </c>
      <c r="Q64" s="3"/>
      <c r="R64" s="7">
        <f t="shared" ref="R64:R83" si="20">IF(P$12=0,0,P64/P$12)</f>
        <v>2.2646420849533317E-4</v>
      </c>
      <c r="S64" s="3"/>
      <c r="T64" s="8"/>
      <c r="U64" s="3"/>
      <c r="V64" s="7">
        <f t="shared" ref="V64:V83" si="21">IF(T$12=0,0,T64/T$12)</f>
        <v>0</v>
      </c>
      <c r="W64" s="3"/>
      <c r="X64" s="8">
        <f t="shared" ref="X64:X83" si="22">+P64-T64</f>
        <v>54.5</v>
      </c>
      <c r="Y64" s="3"/>
      <c r="Z64" s="7">
        <f t="shared" ref="Z64:Z83" si="23">IF(T64=0,0,X64/T64)</f>
        <v>0</v>
      </c>
    </row>
    <row r="65" spans="1:26" s="69" customFormat="1" ht="15" customHeight="1" outlineLevel="1" collapsed="1" x14ac:dyDescent="0.25">
      <c r="A65" s="26"/>
      <c r="B65" s="14" t="str">
        <f>CONCATENATE("     ","General                                           ")</f>
        <v xml:space="preserve">     General                                           </v>
      </c>
      <c r="C65" s="14"/>
      <c r="D65" s="2">
        <f>SUM(OSRRefD22_7x_0)</f>
        <v>0</v>
      </c>
      <c r="E65" s="2"/>
      <c r="F65" s="6">
        <f t="shared" si="16"/>
        <v>0</v>
      </c>
      <c r="G65" s="2"/>
      <c r="H65" s="2">
        <f>SUM(OSRRefH22_7x_0)</f>
        <v>0</v>
      </c>
      <c r="I65" s="2"/>
      <c r="J65" s="6">
        <f t="shared" si="17"/>
        <v>0</v>
      </c>
      <c r="K65" s="2"/>
      <c r="L65" s="2">
        <f t="shared" si="18"/>
        <v>0</v>
      </c>
      <c r="M65" s="2"/>
      <c r="N65" s="6">
        <f t="shared" si="19"/>
        <v>0</v>
      </c>
      <c r="O65" s="14"/>
      <c r="P65" s="2">
        <f>SUM(OSRRefP22_7x_0)</f>
        <v>1122.5899999999999</v>
      </c>
      <c r="Q65" s="2"/>
      <c r="R65" s="6">
        <f t="shared" si="20"/>
        <v>4.6647056112802945E-3</v>
      </c>
      <c r="S65" s="2"/>
      <c r="T65" s="2">
        <f>SUM(OSRRefT22_7x_0)</f>
        <v>0</v>
      </c>
      <c r="U65" s="2"/>
      <c r="V65" s="6">
        <f t="shared" si="21"/>
        <v>0</v>
      </c>
      <c r="W65" s="2"/>
      <c r="X65" s="2">
        <f t="shared" si="22"/>
        <v>1122.5899999999999</v>
      </c>
      <c r="Y65" s="2"/>
      <c r="Z65" s="6">
        <f t="shared" si="23"/>
        <v>0</v>
      </c>
    </row>
    <row r="66" spans="1:26" s="70" customFormat="1" ht="15" hidden="1" customHeight="1" outlineLevel="2" x14ac:dyDescent="0.25">
      <c r="A66" s="25"/>
      <c r="B66" s="12" t="str">
        <f>CONCATENATE("          ","6279"," - ","GENERAL EXPENSE")</f>
        <v xml:space="preserve">          6279 - GENERAL EXPENSE</v>
      </c>
      <c r="C66" s="12"/>
      <c r="D66" s="8"/>
      <c r="E66" s="3"/>
      <c r="F66" s="7">
        <f t="shared" si="16"/>
        <v>0</v>
      </c>
      <c r="G66" s="3"/>
      <c r="H66" s="8">
        <v>0</v>
      </c>
      <c r="I66" s="3"/>
      <c r="J66" s="7">
        <f t="shared" si="17"/>
        <v>0</v>
      </c>
      <c r="K66" s="3"/>
      <c r="L66" s="8">
        <f t="shared" si="18"/>
        <v>0</v>
      </c>
      <c r="M66" s="3"/>
      <c r="N66" s="7">
        <f t="shared" si="19"/>
        <v>0</v>
      </c>
      <c r="O66" s="12"/>
      <c r="P66" s="8">
        <v>1122.5899999999999</v>
      </c>
      <c r="Q66" s="3"/>
      <c r="R66" s="7">
        <f t="shared" si="20"/>
        <v>4.6647056112802945E-3</v>
      </c>
      <c r="S66" s="3"/>
      <c r="T66" s="8">
        <v>0</v>
      </c>
      <c r="U66" s="3"/>
      <c r="V66" s="7">
        <f t="shared" si="21"/>
        <v>0</v>
      </c>
      <c r="W66" s="3"/>
      <c r="X66" s="8">
        <f t="shared" si="22"/>
        <v>1122.5899999999999</v>
      </c>
      <c r="Y66" s="3"/>
      <c r="Z66" s="7">
        <f t="shared" si="23"/>
        <v>0</v>
      </c>
    </row>
    <row r="67" spans="1:26" s="69" customFormat="1" ht="15" customHeight="1" outlineLevel="1" collapsed="1" x14ac:dyDescent="0.25">
      <c r="A67" s="26"/>
      <c r="B67" s="14" t="str">
        <f>CONCATENATE("     ","Inventory Adjustment                              ")</f>
        <v xml:space="preserve">     Inventory Adjustment                              </v>
      </c>
      <c r="C67" s="14"/>
      <c r="D67" s="2">
        <f>SUM(OSRRefD22_8x_0)</f>
        <v>650</v>
      </c>
      <c r="E67" s="2"/>
      <c r="F67" s="6">
        <f t="shared" si="16"/>
        <v>4.6574015425313912E-2</v>
      </c>
      <c r="G67" s="2"/>
      <c r="H67" s="2">
        <f>SUM(OSRRefH22_8x_0)</f>
        <v>650</v>
      </c>
      <c r="I67" s="2"/>
      <c r="J67" s="6">
        <f t="shared" si="17"/>
        <v>4.8692785976477637E-2</v>
      </c>
      <c r="K67" s="2"/>
      <c r="L67" s="2">
        <f t="shared" si="18"/>
        <v>0</v>
      </c>
      <c r="M67" s="2"/>
      <c r="N67" s="6">
        <f t="shared" si="19"/>
        <v>0</v>
      </c>
      <c r="O67" s="14"/>
      <c r="P67" s="2">
        <f>SUM(OSRRefP22_8x_0)</f>
        <v>7150</v>
      </c>
      <c r="Q67" s="2"/>
      <c r="R67" s="6">
        <f t="shared" si="20"/>
        <v>2.9710442031956556E-2</v>
      </c>
      <c r="S67" s="2"/>
      <c r="T67" s="2">
        <f>SUM(OSRRefT22_8x_0)</f>
        <v>7150</v>
      </c>
      <c r="U67" s="2"/>
      <c r="V67" s="6">
        <f t="shared" si="21"/>
        <v>1.5003892618294677E-2</v>
      </c>
      <c r="W67" s="2"/>
      <c r="X67" s="2">
        <f t="shared" si="22"/>
        <v>0</v>
      </c>
      <c r="Y67" s="2"/>
      <c r="Z67" s="6">
        <f t="shared" si="23"/>
        <v>0</v>
      </c>
    </row>
    <row r="68" spans="1:26" s="70" customFormat="1" ht="15" hidden="1" customHeight="1" outlineLevel="2" x14ac:dyDescent="0.25">
      <c r="A68" s="25"/>
      <c r="B68" s="12" t="str">
        <f>CONCATENATE("          ","6408"," - ","INVENTORY ADJUSTMENT")</f>
        <v xml:space="preserve">          6408 - INVENTORY ADJUSTMENT</v>
      </c>
      <c r="C68" s="12"/>
      <c r="D68" s="8">
        <v>650</v>
      </c>
      <c r="E68" s="3"/>
      <c r="F68" s="7">
        <f t="shared" si="16"/>
        <v>4.6574015425313912E-2</v>
      </c>
      <c r="G68" s="3"/>
      <c r="H68" s="8">
        <v>650</v>
      </c>
      <c r="I68" s="3"/>
      <c r="J68" s="7">
        <f t="shared" si="17"/>
        <v>4.8692785976477637E-2</v>
      </c>
      <c r="K68" s="3"/>
      <c r="L68" s="8">
        <f t="shared" si="18"/>
        <v>0</v>
      </c>
      <c r="M68" s="3"/>
      <c r="N68" s="7">
        <f t="shared" si="19"/>
        <v>0</v>
      </c>
      <c r="O68" s="12"/>
      <c r="P68" s="8">
        <v>7150</v>
      </c>
      <c r="Q68" s="3"/>
      <c r="R68" s="7">
        <f t="shared" si="20"/>
        <v>2.9710442031956556E-2</v>
      </c>
      <c r="S68" s="3"/>
      <c r="T68" s="8">
        <v>7150</v>
      </c>
      <c r="U68" s="3"/>
      <c r="V68" s="7">
        <f t="shared" si="21"/>
        <v>1.5003892618294677E-2</v>
      </c>
      <c r="W68" s="3"/>
      <c r="X68" s="8">
        <f t="shared" si="22"/>
        <v>0</v>
      </c>
      <c r="Y68" s="3"/>
      <c r="Z68" s="7">
        <f t="shared" si="23"/>
        <v>0</v>
      </c>
    </row>
    <row r="69" spans="1:26" s="69" customFormat="1" ht="15" customHeight="1" outlineLevel="1" collapsed="1" x14ac:dyDescent="0.25">
      <c r="A69" s="26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SUM(OSRRefD22_9x_0)</f>
        <v>0</v>
      </c>
      <c r="E69" s="2"/>
      <c r="F69" s="6">
        <f t="shared" si="16"/>
        <v>0</v>
      </c>
      <c r="G69" s="2"/>
      <c r="H69" s="2">
        <f>SUM(OSRRefH22_9x_0)</f>
        <v>0</v>
      </c>
      <c r="I69" s="2"/>
      <c r="J69" s="6">
        <f t="shared" si="17"/>
        <v>0</v>
      </c>
      <c r="K69" s="2"/>
      <c r="L69" s="2">
        <f t="shared" si="18"/>
        <v>0</v>
      </c>
      <c r="M69" s="2"/>
      <c r="N69" s="6">
        <f t="shared" si="19"/>
        <v>0</v>
      </c>
      <c r="O69" s="14"/>
      <c r="P69" s="2">
        <f>SUM(OSRRefP22_9x_0)</f>
        <v>1057.25</v>
      </c>
      <c r="Q69" s="2"/>
      <c r="R69" s="6">
        <f t="shared" si="20"/>
        <v>4.3931978794805688E-3</v>
      </c>
      <c r="S69" s="2"/>
      <c r="T69" s="2">
        <f>SUM(OSRRefT22_9x_0)</f>
        <v>0</v>
      </c>
      <c r="U69" s="2"/>
      <c r="V69" s="6">
        <f t="shared" si="21"/>
        <v>0</v>
      </c>
      <c r="W69" s="2"/>
      <c r="X69" s="2">
        <f t="shared" si="22"/>
        <v>1057.25</v>
      </c>
      <c r="Y69" s="2"/>
      <c r="Z69" s="6">
        <f t="shared" si="23"/>
        <v>0</v>
      </c>
    </row>
    <row r="70" spans="1:26" s="70" customFormat="1" ht="15" hidden="1" customHeight="1" outlineLevel="2" x14ac:dyDescent="0.25">
      <c r="A70" s="25"/>
      <c r="B70" s="12" t="str">
        <f>CONCATENATE("          ","6373"," - ","MAINTENANCE CONTRACTS")</f>
        <v xml:space="preserve">          6373 - MAINTENANCE CONTRACTS</v>
      </c>
      <c r="C70" s="12"/>
      <c r="D70" s="8"/>
      <c r="E70" s="3"/>
      <c r="F70" s="7">
        <f t="shared" si="16"/>
        <v>0</v>
      </c>
      <c r="G70" s="3"/>
      <c r="H70" s="8"/>
      <c r="I70" s="3"/>
      <c r="J70" s="7">
        <f t="shared" si="17"/>
        <v>0</v>
      </c>
      <c r="K70" s="3"/>
      <c r="L70" s="8">
        <f t="shared" si="18"/>
        <v>0</v>
      </c>
      <c r="M70" s="3"/>
      <c r="N70" s="7">
        <f t="shared" si="19"/>
        <v>0</v>
      </c>
      <c r="O70" s="12"/>
      <c r="P70" s="8">
        <v>339.23</v>
      </c>
      <c r="Q70" s="3"/>
      <c r="R70" s="7">
        <f t="shared" si="20"/>
        <v>1.4096046504196674E-3</v>
      </c>
      <c r="S70" s="3"/>
      <c r="T70" s="8"/>
      <c r="U70" s="3"/>
      <c r="V70" s="7">
        <f t="shared" si="21"/>
        <v>0</v>
      </c>
      <c r="W70" s="3"/>
      <c r="X70" s="8">
        <f t="shared" si="22"/>
        <v>339.23</v>
      </c>
      <c r="Y70" s="3"/>
      <c r="Z70" s="7">
        <f t="shared" si="23"/>
        <v>0</v>
      </c>
    </row>
    <row r="71" spans="1:26" s="70" customFormat="1" ht="15" hidden="1" customHeight="1" outlineLevel="2" x14ac:dyDescent="0.25">
      <c r="A71" s="25"/>
      <c r="B71" s="12" t="str">
        <f>CONCATENATE("          ","6375"," - ","OUTSIDE REPAIRS &amp; MAINTENANCE")</f>
        <v xml:space="preserve">          6375 - OUTSIDE REPAIRS &amp; MAINTENANCE</v>
      </c>
      <c r="C71" s="12"/>
      <c r="D71" s="8"/>
      <c r="E71" s="3"/>
      <c r="F71" s="7">
        <f t="shared" si="16"/>
        <v>0</v>
      </c>
      <c r="G71" s="3"/>
      <c r="H71" s="8"/>
      <c r="I71" s="3"/>
      <c r="J71" s="7">
        <f t="shared" si="17"/>
        <v>0</v>
      </c>
      <c r="K71" s="3"/>
      <c r="L71" s="8">
        <f t="shared" si="18"/>
        <v>0</v>
      </c>
      <c r="M71" s="3"/>
      <c r="N71" s="7">
        <f t="shared" si="19"/>
        <v>0</v>
      </c>
      <c r="O71" s="12"/>
      <c r="P71" s="8">
        <v>718.02</v>
      </c>
      <c r="Q71" s="3"/>
      <c r="R71" s="7">
        <f t="shared" si="20"/>
        <v>2.9835932290609014E-3</v>
      </c>
      <c r="S71" s="3"/>
      <c r="T71" s="8"/>
      <c r="U71" s="3"/>
      <c r="V71" s="7">
        <f t="shared" si="21"/>
        <v>0</v>
      </c>
      <c r="W71" s="3"/>
      <c r="X71" s="8">
        <f t="shared" si="22"/>
        <v>718.02</v>
      </c>
      <c r="Y71" s="3"/>
      <c r="Z71" s="7">
        <f t="shared" si="23"/>
        <v>0</v>
      </c>
    </row>
    <row r="72" spans="1:26" s="69" customFormat="1" ht="15" customHeight="1" outlineLevel="1" collapsed="1" x14ac:dyDescent="0.25">
      <c r="A72" s="26"/>
      <c r="B72" s="14" t="str">
        <f>CONCATENATE("     ","Services                                          ")</f>
        <v xml:space="preserve">     Services                                          </v>
      </c>
      <c r="C72" s="14"/>
      <c r="D72" s="2">
        <f>SUM(OSRRefD22_10x_0)</f>
        <v>250.08</v>
      </c>
      <c r="E72" s="2"/>
      <c r="F72" s="6">
        <f t="shared" si="16"/>
        <v>1.7918815042403852E-2</v>
      </c>
      <c r="G72" s="2"/>
      <c r="H72" s="2">
        <f>SUM(OSRRefH22_10x_0)</f>
        <v>0</v>
      </c>
      <c r="I72" s="2"/>
      <c r="J72" s="6">
        <f t="shared" si="17"/>
        <v>0</v>
      </c>
      <c r="K72" s="2"/>
      <c r="L72" s="2">
        <f t="shared" si="18"/>
        <v>250.08</v>
      </c>
      <c r="M72" s="2"/>
      <c r="N72" s="6">
        <f t="shared" si="19"/>
        <v>0</v>
      </c>
      <c r="O72" s="14"/>
      <c r="P72" s="2">
        <f>SUM(OSRRefP22_10x_0)</f>
        <v>4635</v>
      </c>
      <c r="Q72" s="2"/>
      <c r="R72" s="6">
        <f t="shared" si="20"/>
        <v>1.9259845988548061E-2</v>
      </c>
      <c r="S72" s="2"/>
      <c r="T72" s="2">
        <f>SUM(OSRRefT22_10x_0)</f>
        <v>0</v>
      </c>
      <c r="U72" s="2"/>
      <c r="V72" s="6">
        <f t="shared" si="21"/>
        <v>0</v>
      </c>
      <c r="W72" s="2"/>
      <c r="X72" s="2">
        <f t="shared" si="22"/>
        <v>4635</v>
      </c>
      <c r="Y72" s="2"/>
      <c r="Z72" s="6">
        <f t="shared" si="23"/>
        <v>0</v>
      </c>
    </row>
    <row r="73" spans="1:26" s="70" customFormat="1" ht="15" hidden="1" customHeight="1" outlineLevel="2" x14ac:dyDescent="0.25">
      <c r="A73" s="25"/>
      <c r="B73" s="12" t="str">
        <f>CONCATENATE("          ","6282"," - ","JANITORIAL/EXTERMINATOR EXPENS")</f>
        <v xml:space="preserve">          6282 - JANITORIAL/EXTERMINATOR EXPENS</v>
      </c>
      <c r="C73" s="12"/>
      <c r="D73" s="8">
        <v>69</v>
      </c>
      <c r="E73" s="3"/>
      <c r="F73" s="7">
        <f t="shared" si="16"/>
        <v>4.9440108682256307E-3</v>
      </c>
      <c r="G73" s="3"/>
      <c r="H73" s="8"/>
      <c r="I73" s="3"/>
      <c r="J73" s="7">
        <f t="shared" si="17"/>
        <v>0</v>
      </c>
      <c r="K73" s="3"/>
      <c r="L73" s="8">
        <f t="shared" si="18"/>
        <v>69</v>
      </c>
      <c r="M73" s="3"/>
      <c r="N73" s="7">
        <f t="shared" si="19"/>
        <v>0</v>
      </c>
      <c r="O73" s="12"/>
      <c r="P73" s="8">
        <v>974.6</v>
      </c>
      <c r="Q73" s="3"/>
      <c r="R73" s="7">
        <f t="shared" si="20"/>
        <v>4.0497617908174625E-3</v>
      </c>
      <c r="S73" s="3"/>
      <c r="T73" s="8"/>
      <c r="U73" s="3"/>
      <c r="V73" s="7">
        <f t="shared" si="21"/>
        <v>0</v>
      </c>
      <c r="W73" s="3"/>
      <c r="X73" s="8">
        <f t="shared" si="22"/>
        <v>974.6</v>
      </c>
      <c r="Y73" s="3"/>
      <c r="Z73" s="7">
        <f t="shared" si="23"/>
        <v>0</v>
      </c>
    </row>
    <row r="74" spans="1:26" s="70" customFormat="1" ht="15" hidden="1" customHeight="1" outlineLevel="2" x14ac:dyDescent="0.25">
      <c r="A74" s="25"/>
      <c r="B74" s="12" t="str">
        <f>CONCATENATE("          ","6285"," - ","JANITORIAL SERVICES")</f>
        <v xml:space="preserve">          6285 - JANITORIAL SERVICES</v>
      </c>
      <c r="C74" s="12"/>
      <c r="D74" s="8">
        <v>181.08</v>
      </c>
      <c r="E74" s="3"/>
      <c r="F74" s="7">
        <f t="shared" si="16"/>
        <v>1.2974804174178222E-2</v>
      </c>
      <c r="G74" s="3"/>
      <c r="H74" s="8"/>
      <c r="I74" s="3"/>
      <c r="J74" s="7">
        <f t="shared" si="17"/>
        <v>0</v>
      </c>
      <c r="K74" s="3"/>
      <c r="L74" s="8">
        <f t="shared" si="18"/>
        <v>181.08</v>
      </c>
      <c r="M74" s="3"/>
      <c r="N74" s="7">
        <f t="shared" si="19"/>
        <v>0</v>
      </c>
      <c r="O74" s="12"/>
      <c r="P74" s="8">
        <v>3660.4</v>
      </c>
      <c r="Q74" s="3"/>
      <c r="R74" s="7">
        <f t="shared" si="20"/>
        <v>1.5210084197730598E-2</v>
      </c>
      <c r="S74" s="3"/>
      <c r="T74" s="8"/>
      <c r="U74" s="3"/>
      <c r="V74" s="7">
        <f t="shared" si="21"/>
        <v>0</v>
      </c>
      <c r="W74" s="3"/>
      <c r="X74" s="8">
        <f t="shared" si="22"/>
        <v>3660.4</v>
      </c>
      <c r="Y74" s="3"/>
      <c r="Z74" s="7">
        <f t="shared" si="23"/>
        <v>0</v>
      </c>
    </row>
    <row r="75" spans="1:26" s="69" customFormat="1" ht="15" customHeight="1" outlineLevel="1" collapsed="1" x14ac:dyDescent="0.25">
      <c r="A75" s="26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SUM(OSRRefD22_11x_0)</f>
        <v>0</v>
      </c>
      <c r="E75" s="2"/>
      <c r="F75" s="6">
        <f t="shared" si="16"/>
        <v>0</v>
      </c>
      <c r="G75" s="2"/>
      <c r="H75" s="2">
        <f>SUM(OSRRefH22_11x_0)</f>
        <v>0</v>
      </c>
      <c r="I75" s="2"/>
      <c r="J75" s="6">
        <f t="shared" si="17"/>
        <v>0</v>
      </c>
      <c r="K75" s="2"/>
      <c r="L75" s="2">
        <f t="shared" si="18"/>
        <v>0</v>
      </c>
      <c r="M75" s="2"/>
      <c r="N75" s="6">
        <f t="shared" si="19"/>
        <v>0</v>
      </c>
      <c r="O75" s="14"/>
      <c r="P75" s="2">
        <f>SUM(OSRRefP22_11x_0)</f>
        <v>45.27</v>
      </c>
      <c r="Q75" s="2"/>
      <c r="R75" s="6">
        <f t="shared" si="20"/>
        <v>1.8811072878135291E-4</v>
      </c>
      <c r="S75" s="2"/>
      <c r="T75" s="2">
        <f>SUM(OSRRefT22_11x_0)</f>
        <v>0</v>
      </c>
      <c r="U75" s="2"/>
      <c r="V75" s="6">
        <f t="shared" si="21"/>
        <v>0</v>
      </c>
      <c r="W75" s="2"/>
      <c r="X75" s="2">
        <f t="shared" si="22"/>
        <v>45.27</v>
      </c>
      <c r="Y75" s="2"/>
      <c r="Z75" s="6">
        <f t="shared" si="23"/>
        <v>0</v>
      </c>
    </row>
    <row r="76" spans="1:26" s="70" customFormat="1" ht="15" hidden="1" customHeight="1" outlineLevel="2" x14ac:dyDescent="0.25">
      <c r="A76" s="25"/>
      <c r="B76" s="12" t="str">
        <f>CONCATENATE("          ","6258"," - ","MEMBERSHIP DUES")</f>
        <v xml:space="preserve">          6258 - MEMBERSHIP DUES</v>
      </c>
      <c r="C76" s="12"/>
      <c r="D76" s="8"/>
      <c r="E76" s="3"/>
      <c r="F76" s="7">
        <f t="shared" si="16"/>
        <v>0</v>
      </c>
      <c r="G76" s="3"/>
      <c r="H76" s="8"/>
      <c r="I76" s="3"/>
      <c r="J76" s="7">
        <f t="shared" si="17"/>
        <v>0</v>
      </c>
      <c r="K76" s="3"/>
      <c r="L76" s="8">
        <f t="shared" si="18"/>
        <v>0</v>
      </c>
      <c r="M76" s="3"/>
      <c r="N76" s="7">
        <f t="shared" si="19"/>
        <v>0</v>
      </c>
      <c r="O76" s="12"/>
      <c r="P76" s="8">
        <v>45.27</v>
      </c>
      <c r="Q76" s="3"/>
      <c r="R76" s="7">
        <f t="shared" si="20"/>
        <v>1.8811072878135291E-4</v>
      </c>
      <c r="S76" s="3"/>
      <c r="T76" s="8"/>
      <c r="U76" s="3"/>
      <c r="V76" s="7">
        <f t="shared" si="21"/>
        <v>0</v>
      </c>
      <c r="W76" s="3"/>
      <c r="X76" s="8">
        <f t="shared" si="22"/>
        <v>45.27</v>
      </c>
      <c r="Y76" s="3"/>
      <c r="Z76" s="7">
        <f t="shared" si="23"/>
        <v>0</v>
      </c>
    </row>
    <row r="77" spans="1:26" s="69" customFormat="1" ht="15" customHeight="1" outlineLevel="1" collapsed="1" x14ac:dyDescent="0.25">
      <c r="A77" s="26"/>
      <c r="B77" s="14" t="str">
        <f>CONCATENATE("     ","Supplies                                          ")</f>
        <v xml:space="preserve">     Supplies                                          </v>
      </c>
      <c r="C77" s="14"/>
      <c r="D77" s="2">
        <f>SUM(OSRRefD22_12x_0)</f>
        <v>3.87</v>
      </c>
      <c r="E77" s="2"/>
      <c r="F77" s="6">
        <f t="shared" si="16"/>
        <v>2.7729452260917667E-4</v>
      </c>
      <c r="G77" s="2"/>
      <c r="H77" s="2">
        <f>SUM(OSRRefH22_12x_0)</f>
        <v>75</v>
      </c>
      <c r="I77" s="2"/>
      <c r="J77" s="6">
        <f t="shared" si="17"/>
        <v>5.618398381901266E-3</v>
      </c>
      <c r="K77" s="2"/>
      <c r="L77" s="2">
        <f t="shared" si="18"/>
        <v>-71.13</v>
      </c>
      <c r="M77" s="2"/>
      <c r="N77" s="6">
        <f t="shared" si="19"/>
        <v>-0.94839999999999991</v>
      </c>
      <c r="O77" s="14"/>
      <c r="P77" s="2">
        <f>SUM(OSRRefP22_12x_0)</f>
        <v>1922.34</v>
      </c>
      <c r="Q77" s="2"/>
      <c r="R77" s="6">
        <f t="shared" si="20"/>
        <v>7.9879120469526377E-3</v>
      </c>
      <c r="S77" s="2"/>
      <c r="T77" s="2">
        <f>SUM(OSRRefT22_12x_0)</f>
        <v>825</v>
      </c>
      <c r="U77" s="2"/>
      <c r="V77" s="6">
        <f t="shared" si="21"/>
        <v>1.7312183790340011E-3</v>
      </c>
      <c r="W77" s="2"/>
      <c r="X77" s="2">
        <f t="shared" si="22"/>
        <v>1097.3399999999999</v>
      </c>
      <c r="Y77" s="2"/>
      <c r="Z77" s="6">
        <f t="shared" si="23"/>
        <v>1.3301090909090909</v>
      </c>
    </row>
    <row r="78" spans="1:26" s="70" customFormat="1" ht="15" hidden="1" customHeight="1" outlineLevel="2" x14ac:dyDescent="0.25">
      <c r="A78" s="25"/>
      <c r="B78" s="12" t="str">
        <f>CONCATENATE("          ","6234"," - ","EXPENDABLE SUPPLIES &amp; EQUIPMEN")</f>
        <v xml:space="preserve">          6234 - EXPENDABLE SUPPLIES &amp; EQUIPMEN</v>
      </c>
      <c r="C78" s="12"/>
      <c r="D78" s="8"/>
      <c r="E78" s="3"/>
      <c r="F78" s="7">
        <f t="shared" si="16"/>
        <v>0</v>
      </c>
      <c r="G78" s="3"/>
      <c r="H78" s="8"/>
      <c r="I78" s="3"/>
      <c r="J78" s="7">
        <f t="shared" si="17"/>
        <v>0</v>
      </c>
      <c r="K78" s="3"/>
      <c r="L78" s="8">
        <f t="shared" si="18"/>
        <v>0</v>
      </c>
      <c r="M78" s="3"/>
      <c r="N78" s="7">
        <f t="shared" si="19"/>
        <v>0</v>
      </c>
      <c r="O78" s="12"/>
      <c r="P78" s="8">
        <v>1393.55</v>
      </c>
      <c r="Q78" s="3"/>
      <c r="R78" s="7">
        <f t="shared" si="20"/>
        <v>5.7906274816270009E-3</v>
      </c>
      <c r="S78" s="3"/>
      <c r="T78" s="8"/>
      <c r="U78" s="3"/>
      <c r="V78" s="7">
        <f t="shared" si="21"/>
        <v>0</v>
      </c>
      <c r="W78" s="3"/>
      <c r="X78" s="8">
        <f t="shared" si="22"/>
        <v>1393.55</v>
      </c>
      <c r="Y78" s="3"/>
      <c r="Z78" s="7">
        <f t="shared" si="23"/>
        <v>0</v>
      </c>
    </row>
    <row r="79" spans="1:26" s="70" customFormat="1" ht="15" hidden="1" customHeight="1" outlineLevel="2" x14ac:dyDescent="0.25">
      <c r="A79" s="25"/>
      <c r="B79" s="12" t="str">
        <f>CONCATENATE("          ","6235"," - ","COVID-19 EXPENSES")</f>
        <v xml:space="preserve">          6235 - COVID-19 EXPENSES</v>
      </c>
      <c r="C79" s="12"/>
      <c r="D79" s="8"/>
      <c r="E79" s="3"/>
      <c r="F79" s="7">
        <f t="shared" si="16"/>
        <v>0</v>
      </c>
      <c r="G79" s="3"/>
      <c r="H79" s="8">
        <v>25</v>
      </c>
      <c r="I79" s="3"/>
      <c r="J79" s="7">
        <f t="shared" si="17"/>
        <v>1.8727994606337554E-3</v>
      </c>
      <c r="K79" s="3"/>
      <c r="L79" s="8">
        <f t="shared" si="18"/>
        <v>-25</v>
      </c>
      <c r="M79" s="3"/>
      <c r="N79" s="7">
        <f t="shared" si="19"/>
        <v>-1</v>
      </c>
      <c r="O79" s="12"/>
      <c r="P79" s="8"/>
      <c r="Q79" s="3"/>
      <c r="R79" s="7">
        <f t="shared" si="20"/>
        <v>0</v>
      </c>
      <c r="S79" s="3"/>
      <c r="T79" s="8">
        <v>275</v>
      </c>
      <c r="U79" s="3"/>
      <c r="V79" s="7">
        <f t="shared" si="21"/>
        <v>5.7707279301133366E-4</v>
      </c>
      <c r="W79" s="3"/>
      <c r="X79" s="8">
        <f t="shared" si="22"/>
        <v>-275</v>
      </c>
      <c r="Y79" s="3"/>
      <c r="Z79" s="7">
        <f t="shared" si="23"/>
        <v>-1</v>
      </c>
    </row>
    <row r="80" spans="1:26" s="70" customFormat="1" ht="15" hidden="1" customHeight="1" outlineLevel="2" x14ac:dyDescent="0.25">
      <c r="A80" s="25"/>
      <c r="B80" s="12" t="str">
        <f>CONCATENATE("          ","6241"," - ","OFFICE EXPENSE")</f>
        <v xml:space="preserve">          6241 - OFFICE EXPENSE</v>
      </c>
      <c r="C80" s="12"/>
      <c r="D80" s="8">
        <v>3.87</v>
      </c>
      <c r="E80" s="3"/>
      <c r="F80" s="7">
        <f t="shared" si="16"/>
        <v>2.7729452260917667E-4</v>
      </c>
      <c r="G80" s="3"/>
      <c r="H80" s="8">
        <v>25</v>
      </c>
      <c r="I80" s="3"/>
      <c r="J80" s="7">
        <f t="shared" si="17"/>
        <v>1.8727994606337554E-3</v>
      </c>
      <c r="K80" s="3"/>
      <c r="L80" s="8">
        <f t="shared" si="18"/>
        <v>-21.13</v>
      </c>
      <c r="M80" s="3"/>
      <c r="N80" s="7">
        <f t="shared" si="19"/>
        <v>-0.84519999999999995</v>
      </c>
      <c r="O80" s="12"/>
      <c r="P80" s="8">
        <v>319.20999999999998</v>
      </c>
      <c r="Q80" s="3"/>
      <c r="R80" s="7">
        <f t="shared" si="20"/>
        <v>1.3264154127301891E-3</v>
      </c>
      <c r="S80" s="3"/>
      <c r="T80" s="8">
        <v>275</v>
      </c>
      <c r="U80" s="3"/>
      <c r="V80" s="7">
        <f t="shared" si="21"/>
        <v>5.7707279301133366E-4</v>
      </c>
      <c r="W80" s="3"/>
      <c r="X80" s="8">
        <f t="shared" si="22"/>
        <v>44.20999999999998</v>
      </c>
      <c r="Y80" s="3"/>
      <c r="Z80" s="7">
        <f t="shared" si="23"/>
        <v>0.1607636363636363</v>
      </c>
    </row>
    <row r="81" spans="1:26" s="70" customFormat="1" ht="15" hidden="1" customHeight="1" outlineLevel="2" x14ac:dyDescent="0.25">
      <c r="A81" s="25"/>
      <c r="B81" s="12" t="str">
        <f>CONCATENATE("          ","6247"," - ","STORE SUPPLIES")</f>
        <v xml:space="preserve">          6247 - STORE SUPPLIES</v>
      </c>
      <c r="C81" s="12"/>
      <c r="D81" s="8"/>
      <c r="E81" s="3"/>
      <c r="F81" s="7">
        <f t="shared" si="16"/>
        <v>0</v>
      </c>
      <c r="G81" s="3"/>
      <c r="H81" s="8">
        <v>25</v>
      </c>
      <c r="I81" s="3"/>
      <c r="J81" s="7">
        <f t="shared" si="17"/>
        <v>1.8727994606337554E-3</v>
      </c>
      <c r="K81" s="3"/>
      <c r="L81" s="8">
        <f t="shared" si="18"/>
        <v>-25</v>
      </c>
      <c r="M81" s="3"/>
      <c r="N81" s="7">
        <f t="shared" si="19"/>
        <v>-1</v>
      </c>
      <c r="O81" s="12"/>
      <c r="P81" s="8">
        <v>209.58</v>
      </c>
      <c r="Q81" s="3"/>
      <c r="R81" s="7">
        <f t="shared" si="20"/>
        <v>8.7086915259544824E-4</v>
      </c>
      <c r="S81" s="3"/>
      <c r="T81" s="8">
        <v>275</v>
      </c>
      <c r="U81" s="3"/>
      <c r="V81" s="7">
        <f t="shared" si="21"/>
        <v>5.7707279301133366E-4</v>
      </c>
      <c r="W81" s="3"/>
      <c r="X81" s="8">
        <f t="shared" si="22"/>
        <v>-65.419999999999987</v>
      </c>
      <c r="Y81" s="3"/>
      <c r="Z81" s="7">
        <f t="shared" si="23"/>
        <v>-0.23789090909090904</v>
      </c>
    </row>
    <row r="82" spans="1:26" s="69" customFormat="1" ht="15" customHeight="1" outlineLevel="1" collapsed="1" x14ac:dyDescent="0.25">
      <c r="A82" s="26"/>
      <c r="B82" s="14" t="str">
        <f>CONCATENATE("     ","Telephone/Data Lines                              ")</f>
        <v xml:space="preserve">     Telephone/Data Lines                              </v>
      </c>
      <c r="C82" s="14"/>
      <c r="D82" s="2">
        <f>SUM(OSRRefD22_13x_0)</f>
        <v>37</v>
      </c>
      <c r="E82" s="2"/>
      <c r="F82" s="6">
        <f t="shared" si="16"/>
        <v>2.6511362626717152E-3</v>
      </c>
      <c r="G82" s="2"/>
      <c r="H82" s="2">
        <f>SUM(OSRRefH22_13x_0)</f>
        <v>60</v>
      </c>
      <c r="I82" s="2"/>
      <c r="J82" s="6">
        <f t="shared" si="17"/>
        <v>4.4947187055210131E-3</v>
      </c>
      <c r="K82" s="2"/>
      <c r="L82" s="2">
        <f t="shared" si="18"/>
        <v>-23</v>
      </c>
      <c r="M82" s="2"/>
      <c r="N82" s="6">
        <f t="shared" si="19"/>
        <v>-0.38333333333333336</v>
      </c>
      <c r="O82" s="14"/>
      <c r="P82" s="2">
        <f>SUM(OSRRefP22_13x_0)</f>
        <v>466.94</v>
      </c>
      <c r="Q82" s="2"/>
      <c r="R82" s="6">
        <f t="shared" si="20"/>
        <v>1.9402788534827683E-3</v>
      </c>
      <c r="S82" s="2"/>
      <c r="T82" s="2">
        <f>SUM(OSRRefT22_13x_0)</f>
        <v>660</v>
      </c>
      <c r="U82" s="2"/>
      <c r="V82" s="6">
        <f t="shared" si="21"/>
        <v>1.3849747032272008E-3</v>
      </c>
      <c r="W82" s="2"/>
      <c r="X82" s="2">
        <f t="shared" si="22"/>
        <v>-193.06</v>
      </c>
      <c r="Y82" s="2"/>
      <c r="Z82" s="6">
        <f t="shared" si="23"/>
        <v>-0.29251515151515151</v>
      </c>
    </row>
    <row r="83" spans="1:26" s="70" customFormat="1" ht="15" hidden="1" customHeight="1" outlineLevel="2" x14ac:dyDescent="0.25">
      <c r="A83" s="25"/>
      <c r="B83" s="12" t="str">
        <f>CONCATENATE("          ","6309"," - ","TELEPHONE")</f>
        <v xml:space="preserve">          6309 - TELEPHONE</v>
      </c>
      <c r="C83" s="12"/>
      <c r="D83" s="8">
        <v>37</v>
      </c>
      <c r="E83" s="3"/>
      <c r="F83" s="7">
        <f t="shared" si="16"/>
        <v>2.6511362626717152E-3</v>
      </c>
      <c r="G83" s="3"/>
      <c r="H83" s="8">
        <v>60</v>
      </c>
      <c r="I83" s="3"/>
      <c r="J83" s="7">
        <f t="shared" si="17"/>
        <v>4.4947187055210131E-3</v>
      </c>
      <c r="K83" s="3"/>
      <c r="L83" s="8">
        <f t="shared" si="18"/>
        <v>-23</v>
      </c>
      <c r="M83" s="3"/>
      <c r="N83" s="7">
        <f t="shared" si="19"/>
        <v>-0.38333333333333336</v>
      </c>
      <c r="O83" s="12"/>
      <c r="P83" s="8">
        <v>466.94</v>
      </c>
      <c r="Q83" s="3"/>
      <c r="R83" s="7">
        <f t="shared" si="20"/>
        <v>1.9402788534827683E-3</v>
      </c>
      <c r="S83" s="3"/>
      <c r="T83" s="8">
        <v>660</v>
      </c>
      <c r="U83" s="3"/>
      <c r="V83" s="7">
        <f t="shared" si="21"/>
        <v>1.3849747032272008E-3</v>
      </c>
      <c r="W83" s="3"/>
      <c r="X83" s="8">
        <f t="shared" si="22"/>
        <v>-193.06</v>
      </c>
      <c r="Y83" s="3"/>
      <c r="Z83" s="7">
        <f t="shared" si="23"/>
        <v>-0.29251515151515151</v>
      </c>
    </row>
    <row r="84" spans="1:26" s="65" customFormat="1" ht="15" customHeight="1" x14ac:dyDescent="0.25">
      <c r="A84" s="35"/>
      <c r="B84" s="35"/>
      <c r="C84" s="35"/>
      <c r="D84" s="2"/>
      <c r="E84" s="2"/>
      <c r="F84" s="6"/>
      <c r="G84" s="2"/>
      <c r="H84" s="2"/>
      <c r="I84" s="2"/>
      <c r="J84" s="6"/>
      <c r="K84" s="2"/>
      <c r="L84" s="2"/>
      <c r="M84" s="2"/>
      <c r="N84" s="6"/>
      <c r="O84" s="35"/>
      <c r="P84" s="2"/>
      <c r="Q84" s="2"/>
      <c r="R84" s="6"/>
      <c r="S84" s="2"/>
      <c r="T84" s="2"/>
      <c r="U84" s="2"/>
      <c r="V84" s="6"/>
      <c r="W84" s="2"/>
      <c r="X84" s="2"/>
      <c r="Y84" s="2"/>
      <c r="Z84" s="6"/>
    </row>
    <row r="85" spans="1:26" s="63" customFormat="1" ht="15" customHeight="1" x14ac:dyDescent="0.25">
      <c r="A85" s="11"/>
      <c r="B85" s="27" t="s">
        <v>291</v>
      </c>
      <c r="C85" s="11"/>
      <c r="D85" s="5">
        <f>SUM(0)</f>
        <v>0</v>
      </c>
      <c r="E85" s="5"/>
      <c r="F85" s="13">
        <f>IF(D$12=0,0,D85/D$12)</f>
        <v>0</v>
      </c>
      <c r="G85" s="5"/>
      <c r="H85" s="5">
        <f>SUM(0)</f>
        <v>0</v>
      </c>
      <c r="I85" s="5"/>
      <c r="J85" s="13">
        <f>IF(H$12=0,0,H85/H$12)</f>
        <v>0</v>
      </c>
      <c r="K85" s="5"/>
      <c r="L85" s="5">
        <f>+D85-H85</f>
        <v>0</v>
      </c>
      <c r="M85" s="5"/>
      <c r="N85" s="13">
        <f>IF(H85=0,0,L85/H85)</f>
        <v>0</v>
      </c>
      <c r="O85" s="11"/>
      <c r="P85" s="5">
        <f>SUM(0)</f>
        <v>0</v>
      </c>
      <c r="Q85" s="5"/>
      <c r="R85" s="13">
        <f>IF(P$12=0,0,P85/P$12)</f>
        <v>0</v>
      </c>
      <c r="S85" s="5"/>
      <c r="T85" s="5">
        <f>SUM(0)</f>
        <v>0</v>
      </c>
      <c r="U85" s="5"/>
      <c r="V85" s="13">
        <f>IF(T$12=0,0,T85/T$12)</f>
        <v>0</v>
      </c>
      <c r="W85" s="5"/>
      <c r="X85" s="5">
        <f>+P85-T85</f>
        <v>0</v>
      </c>
      <c r="Y85" s="5"/>
      <c r="Z85" s="13">
        <f>IF(T85=0,0,X85/T85)</f>
        <v>0</v>
      </c>
    </row>
    <row r="86" spans="1:26" ht="15" customHeight="1" x14ac:dyDescent="0.25">
      <c r="A86" s="10"/>
      <c r="B86" s="11"/>
      <c r="C86" s="11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O86" s="11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3" customFormat="1" ht="15" customHeight="1" x14ac:dyDescent="0.25">
      <c r="A87" s="11"/>
      <c r="B87" s="28" t="s">
        <v>292</v>
      </c>
      <c r="C87" s="28"/>
      <c r="D87" s="22">
        <f>+D30-D32+D85</f>
        <v>-1554.0500000000011</v>
      </c>
      <c r="E87" s="15"/>
      <c r="F87" s="21">
        <f>IF(D$12=0,0,D87/D$12)</f>
        <v>-0.11135130564878329</v>
      </c>
      <c r="G87" s="15"/>
      <c r="H87" s="22">
        <f>+H30-H32+H85</f>
        <v>-3976.8486919999996</v>
      </c>
      <c r="I87" s="15"/>
      <c r="J87" s="21">
        <f>IF(H$12=0,0,H87/H$12)</f>
        <v>-0.29791360341598616</v>
      </c>
      <c r="K87" s="16"/>
      <c r="L87" s="22">
        <f>+D87-H87</f>
        <v>2422.7986919999985</v>
      </c>
      <c r="M87" s="16"/>
      <c r="N87" s="21">
        <f>IF(H87=0,0,L87/H87)</f>
        <v>-0.6092257663395152</v>
      </c>
      <c r="O87" s="27"/>
      <c r="P87" s="22">
        <f>+P30-P32+P85</f>
        <v>39024.219999999972</v>
      </c>
      <c r="Q87" s="15"/>
      <c r="R87" s="21">
        <f>IF(P$12=0,0,P87/P$12)</f>
        <v>0.16215759806326135</v>
      </c>
      <c r="S87" s="15"/>
      <c r="T87" s="22">
        <f>+T30-T32+T85</f>
        <v>84962.79344400001</v>
      </c>
      <c r="U87" s="15"/>
      <c r="V87" s="21">
        <f>IF(T$12=0,0,T87/T$12)</f>
        <v>0.17828987823554224</v>
      </c>
      <c r="W87" s="16"/>
      <c r="X87" s="22">
        <f>+P87-T87</f>
        <v>-45938.573444000038</v>
      </c>
      <c r="Y87" s="16"/>
      <c r="Z87" s="21">
        <f>IF(T87=0,0,X87/T87)</f>
        <v>-0.54069047852432839</v>
      </c>
    </row>
    <row r="88" spans="1:26" ht="15" customHeight="1" x14ac:dyDescent="0.25">
      <c r="A88" s="10"/>
      <c r="B88" s="11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3" customFormat="1" ht="15" customHeight="1" x14ac:dyDescent="0.25">
      <c r="A89" s="49"/>
      <c r="B89" s="11" t="s">
        <v>293</v>
      </c>
      <c r="C89" s="11"/>
      <c r="D89" s="5">
        <v>1374.41</v>
      </c>
      <c r="E89" s="5"/>
      <c r="F89" s="13">
        <f>IF(D$12=0,0,D89/D$12)</f>
        <v>9.8479680831854918E-2</v>
      </c>
      <c r="G89" s="5"/>
      <c r="H89" s="5">
        <v>2094</v>
      </c>
      <c r="I89" s="5"/>
      <c r="J89" s="13">
        <f>IF(H$12=0,0,H89/H$12)</f>
        <v>0.15686568282268334</v>
      </c>
      <c r="K89" s="5"/>
      <c r="L89" s="5">
        <f>+D89-H89</f>
        <v>-719.58999999999992</v>
      </c>
      <c r="M89" s="5"/>
      <c r="N89" s="13">
        <f>IF(H89=0,0,L89/H89)</f>
        <v>-0.34364374403056347</v>
      </c>
      <c r="O89" s="11"/>
      <c r="P89" s="5">
        <v>27055.85</v>
      </c>
      <c r="Q89" s="5"/>
      <c r="R89" s="13">
        <f>IF(P$12=0,0,P89/P$12)</f>
        <v>0.11242535147556806</v>
      </c>
      <c r="S89" s="5"/>
      <c r="T89" s="5">
        <v>59074</v>
      </c>
      <c r="U89" s="5"/>
      <c r="V89" s="13">
        <f>IF(T$12=0,0,T89/T$12)</f>
        <v>0.12396362972491465</v>
      </c>
      <c r="W89" s="5"/>
      <c r="X89" s="5">
        <f>+P89-T89</f>
        <v>-32018.15</v>
      </c>
      <c r="Y89" s="5"/>
      <c r="Z89" s="13">
        <f>IF(T89=0,0,X89/T89)</f>
        <v>-0.54200071097267832</v>
      </c>
    </row>
    <row r="90" spans="1:26" ht="15" customHeight="1" x14ac:dyDescent="0.25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25">
      <c r="A91" s="11"/>
      <c r="B91" s="28" t="s">
        <v>294</v>
      </c>
      <c r="C91" s="28"/>
      <c r="D91" s="34">
        <f>+D87-D89</f>
        <v>-2928.4600000000009</v>
      </c>
      <c r="E91" s="15"/>
      <c r="F91" s="32">
        <f>IF(D$12=0,0,D91/D$12)</f>
        <v>-0.20983098648063819</v>
      </c>
      <c r="G91" s="15"/>
      <c r="H91" s="34">
        <f>+H87-H89</f>
        <v>-6070.8486919999996</v>
      </c>
      <c r="I91" s="15"/>
      <c r="J91" s="32">
        <f>IF(H$12=0,0,H91/H$12)</f>
        <v>-0.45477928623866953</v>
      </c>
      <c r="K91" s="16"/>
      <c r="L91" s="34">
        <f>D91-H91</f>
        <v>3142.3886919999986</v>
      </c>
      <c r="M91" s="16"/>
      <c r="N91" s="32">
        <f>IF(H91=0,0,L91/H91)</f>
        <v>-0.51761933980350283</v>
      </c>
      <c r="O91" s="27"/>
      <c r="P91" s="34">
        <f>+P87-P89</f>
        <v>11968.369999999974</v>
      </c>
      <c r="Q91" s="15"/>
      <c r="R91" s="32">
        <f>IF(P$12=0,0,P91/P$12)</f>
        <v>4.9732246587693298E-2</v>
      </c>
      <c r="S91" s="15"/>
      <c r="T91" s="34">
        <f>+T87-T89</f>
        <v>25888.79344400001</v>
      </c>
      <c r="U91" s="15"/>
      <c r="V91" s="32">
        <f>IF(T$12=0,0,T91/T$12)</f>
        <v>5.4326248510627603E-2</v>
      </c>
      <c r="W91" s="16"/>
      <c r="X91" s="34">
        <f>P91-T91</f>
        <v>-13920.423444000036</v>
      </c>
      <c r="Y91" s="16"/>
      <c r="Z91" s="32">
        <f>IF(T91=0,0,X91/T91)</f>
        <v>-0.53770074198750406</v>
      </c>
    </row>
    <row r="92" spans="1:26" ht="15" customHeight="1" x14ac:dyDescent="0.25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ht="15" customHeight="1" x14ac:dyDescent="0.25">
      <c r="A93" s="10"/>
      <c r="B93" s="10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25">
      <c r="A94" s="11"/>
      <c r="B94" s="28" t="s">
        <v>297</v>
      </c>
      <c r="C94" s="28"/>
      <c r="D94" s="30">
        <f>SUM(D91:D93)</f>
        <v>-2928.4600000000009</v>
      </c>
      <c r="E94" s="15"/>
      <c r="F94" s="33">
        <f>IF(D$12=0,0,D94/D$12)</f>
        <v>-0.20983098648063819</v>
      </c>
      <c r="G94" s="15"/>
      <c r="H94" s="30">
        <f>SUM(H91:H93)</f>
        <v>-6070.8486919999996</v>
      </c>
      <c r="I94" s="15"/>
      <c r="J94" s="33">
        <f>IF(H$12=0,0,H94/H$12)</f>
        <v>-0.45477928623866953</v>
      </c>
      <c r="K94" s="16"/>
      <c r="L94" s="30">
        <f>+D94-H94</f>
        <v>3142.3886919999986</v>
      </c>
      <c r="M94" s="16"/>
      <c r="N94" s="33">
        <f>IF(H94=0,0,L94/H94)</f>
        <v>-0.51761933980350283</v>
      </c>
      <c r="O94" s="27"/>
      <c r="P94" s="30">
        <f>SUM(P91:P93)</f>
        <v>11968.369999999974</v>
      </c>
      <c r="Q94" s="15"/>
      <c r="R94" s="33">
        <f>IF(P$12=0,0,P94/P$12)</f>
        <v>4.9732246587693298E-2</v>
      </c>
      <c r="S94" s="15"/>
      <c r="T94" s="30">
        <f>SUM(T91:T93)</f>
        <v>25888.79344400001</v>
      </c>
      <c r="U94" s="15"/>
      <c r="V94" s="33">
        <f>IF(T$12=0,0,T94/T$12)</f>
        <v>5.4326248510627603E-2</v>
      </c>
      <c r="W94" s="16"/>
      <c r="X94" s="30">
        <f>+P94-T94</f>
        <v>-13920.423444000036</v>
      </c>
      <c r="Y94" s="16"/>
      <c r="Z94" s="33">
        <f>IF(T94=0,0,X94/T94)</f>
        <v>-0.53770074198750406</v>
      </c>
    </row>
    <row r="95" spans="1:26" ht="15" customHeight="1" x14ac:dyDescent="0.25">
      <c r="A95" s="10"/>
      <c r="C95" s="10"/>
      <c r="D95" s="18"/>
      <c r="E95" s="18"/>
      <c r="G95" s="18"/>
      <c r="H95" s="18"/>
      <c r="I95" s="18"/>
      <c r="J95" s="40"/>
      <c r="K95" s="18"/>
      <c r="L95" s="18"/>
      <c r="M95" s="18"/>
      <c r="P95" s="18"/>
      <c r="Q95" s="18"/>
      <c r="R95" s="40"/>
      <c r="S95" s="18"/>
      <c r="T95" s="18"/>
      <c r="U95" s="18"/>
      <c r="V95" s="40"/>
      <c r="W95" s="18"/>
      <c r="X95" s="18"/>
    </row>
    <row r="96" spans="1:26" ht="15" customHeight="1" x14ac:dyDescent="0.25">
      <c r="A96" s="10"/>
      <c r="B96" s="54">
        <v>44727.874527581022</v>
      </c>
      <c r="D96" s="18"/>
      <c r="E96" s="18"/>
      <c r="G96" s="18"/>
      <c r="H96" s="18"/>
      <c r="I96" s="18"/>
      <c r="J96" s="40"/>
      <c r="K96" s="18"/>
      <c r="L96" s="18"/>
      <c r="M96" s="18"/>
      <c r="P96" s="18"/>
      <c r="Q96" s="18"/>
      <c r="R96" s="40"/>
      <c r="S96" s="18"/>
      <c r="T96" s="18"/>
      <c r="U96" s="18"/>
      <c r="V96" s="40"/>
      <c r="W96" s="18"/>
      <c r="X96" s="18"/>
    </row>
    <row r="97" spans="1:24" ht="15" customHeight="1" x14ac:dyDescent="0.25">
      <c r="A97" s="10"/>
      <c r="B97" s="50" t="s">
        <v>298</v>
      </c>
      <c r="D97" s="18"/>
      <c r="E97" s="18"/>
      <c r="G97" s="18"/>
      <c r="H97" s="18"/>
      <c r="I97" s="18"/>
      <c r="J97" s="40"/>
      <c r="K97" s="18"/>
      <c r="L97" s="18"/>
      <c r="M97" s="18"/>
      <c r="P97" s="18"/>
      <c r="Q97" s="18"/>
      <c r="R97" s="40"/>
      <c r="S97" s="18"/>
      <c r="T97" s="18"/>
      <c r="U97" s="18"/>
      <c r="V97" s="40"/>
      <c r="W97" s="18"/>
      <c r="X97" s="18"/>
    </row>
    <row r="98" spans="1:24" ht="15" customHeight="1" x14ac:dyDescent="0.25">
      <c r="A98" s="10"/>
      <c r="B98" s="58"/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  <row r="99" spans="1:24" ht="15" customHeight="1" x14ac:dyDescent="0.25"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87277-0862-03D4-D97A-7744DCE60951}">
  <sheetPr>
    <tabColor rgb="FFFFFF00"/>
    <outlinePr summaryBelow="0" summaryRight="0"/>
  </sheetPr>
  <dimension ref="A2:Z13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307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782084.00999999989</v>
      </c>
      <c r="E12" s="5"/>
      <c r="F12" s="13"/>
      <c r="G12" s="5"/>
      <c r="H12" s="5">
        <f>SUM(OSRRefH13x_0)</f>
        <v>264303</v>
      </c>
      <c r="I12" s="5"/>
      <c r="J12" s="13"/>
      <c r="K12" s="5"/>
      <c r="L12" s="5">
        <f t="shared" ref="L12:L17" si="0">+D12-H12</f>
        <v>517781.00999999989</v>
      </c>
      <c r="M12" s="5"/>
      <c r="N12" s="13">
        <f t="shared" ref="N12:N17" si="1">IF(H12=0,0,L12/H12)</f>
        <v>1.9590432571707468</v>
      </c>
      <c r="O12" s="11"/>
      <c r="P12" s="5">
        <f>SUM(OSRRefP13x_0)</f>
        <v>4819825.0799999991</v>
      </c>
      <c r="Q12" s="5"/>
      <c r="R12" s="13"/>
      <c r="S12" s="5"/>
      <c r="T12" s="5">
        <f>SUM(OSRRefT13x_0)</f>
        <v>2963720</v>
      </c>
      <c r="U12" s="5"/>
      <c r="V12" s="13"/>
      <c r="W12" s="5"/>
      <c r="X12" s="5">
        <f t="shared" ref="X12:X17" si="2">+P12-T12</f>
        <v>1856105.0799999991</v>
      </c>
      <c r="Y12" s="5"/>
      <c r="Z12" s="13">
        <f t="shared" ref="Z12:Z17" si="3">IF(T12=0,0,X12/T12)</f>
        <v>0.62627545112223793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--788379.4</f>
        <v>788379.4</v>
      </c>
      <c r="E13" s="3"/>
      <c r="F13" s="20"/>
      <c r="G13" s="3"/>
      <c r="H13" s="3">
        <v>264303</v>
      </c>
      <c r="I13" s="3"/>
      <c r="J13" s="20"/>
      <c r="K13" s="3"/>
      <c r="L13" s="3">
        <f t="shared" si="0"/>
        <v>524076.4</v>
      </c>
      <c r="M13" s="3"/>
      <c r="N13" s="20">
        <f t="shared" si="1"/>
        <v>1.9828620938846704</v>
      </c>
      <c r="O13" s="12"/>
      <c r="P13" s="3">
        <f>--4542953.27</f>
        <v>4542953.2699999996</v>
      </c>
      <c r="Q13" s="3"/>
      <c r="R13" s="20"/>
      <c r="S13" s="3"/>
      <c r="T13" s="3">
        <v>2963720</v>
      </c>
      <c r="U13" s="3"/>
      <c r="V13" s="20"/>
      <c r="W13" s="3"/>
      <c r="X13" s="3">
        <f t="shared" si="2"/>
        <v>1579233.2699999996</v>
      </c>
      <c r="Y13" s="3"/>
      <c r="Z13" s="20">
        <f t="shared" si="3"/>
        <v>0.53285508415099925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--53283.85</f>
        <v>53283.85</v>
      </c>
      <c r="E14" s="3"/>
      <c r="F14" s="20"/>
      <c r="G14" s="3"/>
      <c r="H14" s="3"/>
      <c r="I14" s="3"/>
      <c r="J14" s="20"/>
      <c r="K14" s="3"/>
      <c r="L14" s="3">
        <f t="shared" si="0"/>
        <v>53283.85</v>
      </c>
      <c r="M14" s="3"/>
      <c r="N14" s="20">
        <f t="shared" si="1"/>
        <v>0</v>
      </c>
      <c r="O14" s="12"/>
      <c r="P14" s="3">
        <f>--552088</f>
        <v>552088</v>
      </c>
      <c r="Q14" s="3"/>
      <c r="R14" s="20"/>
      <c r="S14" s="3"/>
      <c r="T14" s="3"/>
      <c r="U14" s="3"/>
      <c r="V14" s="20"/>
      <c r="W14" s="3"/>
      <c r="X14" s="3">
        <f t="shared" si="2"/>
        <v>552088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-38326.92</f>
        <v>-38326.92</v>
      </c>
      <c r="E15" s="3"/>
      <c r="F15" s="20"/>
      <c r="G15" s="3"/>
      <c r="H15" s="3"/>
      <c r="I15" s="3"/>
      <c r="J15" s="20"/>
      <c r="K15" s="3"/>
      <c r="L15" s="3">
        <f t="shared" si="0"/>
        <v>-38326.92</v>
      </c>
      <c r="M15" s="3"/>
      <c r="N15" s="20">
        <f t="shared" si="1"/>
        <v>0</v>
      </c>
      <c r="O15" s="12"/>
      <c r="P15" s="3">
        <f>-153876.36</f>
        <v>-153876.35999999999</v>
      </c>
      <c r="Q15" s="3"/>
      <c r="R15" s="20"/>
      <c r="S15" s="3"/>
      <c r="T15" s="3"/>
      <c r="U15" s="3"/>
      <c r="V15" s="20"/>
      <c r="W15" s="3"/>
      <c r="X15" s="3">
        <f t="shared" si="2"/>
        <v>-153876.35999999999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-346.55</f>
        <v>-346.55</v>
      </c>
      <c r="E16" s="3"/>
      <c r="F16" s="20"/>
      <c r="G16" s="3"/>
      <c r="H16" s="3"/>
      <c r="I16" s="3"/>
      <c r="J16" s="20"/>
      <c r="K16" s="3"/>
      <c r="L16" s="3">
        <f t="shared" si="0"/>
        <v>-346.55</v>
      </c>
      <c r="M16" s="3"/>
      <c r="N16" s="20">
        <f t="shared" si="1"/>
        <v>0</v>
      </c>
      <c r="O16" s="12"/>
      <c r="P16" s="3">
        <f>-3496.69</f>
        <v>-3496.69</v>
      </c>
      <c r="Q16" s="3"/>
      <c r="R16" s="20"/>
      <c r="S16" s="3"/>
      <c r="T16" s="3"/>
      <c r="U16" s="3"/>
      <c r="V16" s="20"/>
      <c r="W16" s="3"/>
      <c r="X16" s="3">
        <f t="shared" si="2"/>
        <v>-3496.69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-20905.77</f>
        <v>-20905.77</v>
      </c>
      <c r="E17" s="3"/>
      <c r="F17" s="20"/>
      <c r="G17" s="3"/>
      <c r="H17" s="3"/>
      <c r="I17" s="3"/>
      <c r="J17" s="20"/>
      <c r="K17" s="3"/>
      <c r="L17" s="3">
        <f t="shared" si="0"/>
        <v>-20905.77</v>
      </c>
      <c r="M17" s="3"/>
      <c r="N17" s="20">
        <f t="shared" si="1"/>
        <v>0</v>
      </c>
      <c r="O17" s="12"/>
      <c r="P17" s="3">
        <f>-117843.14</f>
        <v>-117843.14</v>
      </c>
      <c r="Q17" s="3"/>
      <c r="R17" s="20"/>
      <c r="S17" s="3"/>
      <c r="T17" s="3"/>
      <c r="U17" s="3"/>
      <c r="V17" s="20"/>
      <c r="W17" s="3"/>
      <c r="X17" s="3">
        <f t="shared" si="2"/>
        <v>-117843.14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342424.29</v>
      </c>
      <c r="E19" s="5"/>
      <c r="F19" s="13">
        <f t="shared" ref="F19:F38" si="4">IF(D$12=0,0,D19/D$12)</f>
        <v>0.43783568724285776</v>
      </c>
      <c r="G19" s="5"/>
      <c r="H19" s="5">
        <f>SUM(OSRRefH16x_0)</f>
        <v>131541</v>
      </c>
      <c r="I19" s="5"/>
      <c r="J19" s="13">
        <f t="shared" ref="J19:J38" si="5">IF(H$12=0,0,H19/H$12)</f>
        <v>0.49769015107660525</v>
      </c>
      <c r="K19" s="5"/>
      <c r="L19" s="5">
        <f t="shared" ref="L19:L38" si="6">+D19-H19</f>
        <v>210883.28999999998</v>
      </c>
      <c r="M19" s="5"/>
      <c r="N19" s="13">
        <f t="shared" ref="N19:N38" si="7">IF(H19=0,0,L19/H19)</f>
        <v>1.6031753597737586</v>
      </c>
      <c r="O19" s="11"/>
      <c r="P19" s="5">
        <f>SUM(OSRRefP16x_0)</f>
        <v>2234680.06</v>
      </c>
      <c r="Q19" s="5"/>
      <c r="R19" s="13">
        <f t="shared" ref="R19:R38" si="8">IF(P$12=0,0,P19/P$12)</f>
        <v>0.4636433942951308</v>
      </c>
      <c r="S19" s="5"/>
      <c r="T19" s="5">
        <f>SUM(OSRRefT16x_0)</f>
        <v>1499416</v>
      </c>
      <c r="U19" s="5"/>
      <c r="V19" s="13">
        <f t="shared" ref="V19:V38" si="9">IF(T$12=0,0,T19/T$12)</f>
        <v>0.50592363651087147</v>
      </c>
      <c r="W19" s="5"/>
      <c r="X19" s="5">
        <f t="shared" ref="X19:X38" si="10">+P19-T19</f>
        <v>735264.06</v>
      </c>
      <c r="Y19" s="5"/>
      <c r="Z19" s="13">
        <f t="shared" ref="Z19:Z38" si="11">IF(T19=0,0,X19/T19)</f>
        <v>0.49036695620161452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244550.01</v>
      </c>
      <c r="E20" s="3"/>
      <c r="F20" s="20">
        <f t="shared" si="4"/>
        <v>0.31269020574912409</v>
      </c>
      <c r="G20" s="3"/>
      <c r="H20" s="3">
        <v>131541</v>
      </c>
      <c r="I20" s="3"/>
      <c r="J20" s="20">
        <f t="shared" si="5"/>
        <v>0.49769015107660525</v>
      </c>
      <c r="K20" s="3"/>
      <c r="L20" s="3">
        <f t="shared" si="6"/>
        <v>113009.01000000001</v>
      </c>
      <c r="M20" s="3"/>
      <c r="N20" s="20">
        <f t="shared" si="7"/>
        <v>0.8591162451250941</v>
      </c>
      <c r="O20" s="12"/>
      <c r="P20" s="3">
        <v>2356088.9</v>
      </c>
      <c r="Q20" s="3"/>
      <c r="R20" s="20">
        <f t="shared" si="8"/>
        <v>0.48883286444909746</v>
      </c>
      <c r="S20" s="3"/>
      <c r="T20" s="3">
        <v>1499416</v>
      </c>
      <c r="U20" s="3"/>
      <c r="V20" s="20">
        <f t="shared" si="9"/>
        <v>0.50592363651087147</v>
      </c>
      <c r="W20" s="3"/>
      <c r="X20" s="3">
        <f t="shared" si="10"/>
        <v>856672.89999999991</v>
      </c>
      <c r="Y20" s="3"/>
      <c r="Z20" s="20">
        <f t="shared" si="11"/>
        <v>0.57133770748077917</v>
      </c>
    </row>
    <row r="21" spans="1:26" s="70" customFormat="1" ht="15" hidden="1" customHeight="1" outlineLevel="1" x14ac:dyDescent="0.25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","5200"," - ","PURCHASES OFFSET")</f>
        <v xml:space="preserve">          5200 - PURCHASES OFFSET</v>
      </c>
      <c r="C30" s="12"/>
      <c r="D30" s="3">
        <v>-254377.2</v>
      </c>
      <c r="E30" s="3"/>
      <c r="F30" s="20">
        <f t="shared" si="4"/>
        <v>-0.32525559498397116</v>
      </c>
      <c r="G30" s="3"/>
      <c r="H30" s="3"/>
      <c r="I30" s="3"/>
      <c r="J30" s="20">
        <f t="shared" si="5"/>
        <v>0</v>
      </c>
      <c r="K30" s="3"/>
      <c r="L30" s="3">
        <f t="shared" si="6"/>
        <v>-254377.2</v>
      </c>
      <c r="M30" s="3"/>
      <c r="N30" s="20">
        <f t="shared" si="7"/>
        <v>0</v>
      </c>
      <c r="O30" s="12"/>
      <c r="P30" s="3">
        <v>-2471760.67</v>
      </c>
      <c r="Q30" s="3"/>
      <c r="R30" s="20">
        <f t="shared" si="8"/>
        <v>-0.51283202792081417</v>
      </c>
      <c r="S30" s="3"/>
      <c r="T30" s="3"/>
      <c r="U30" s="3"/>
      <c r="V30" s="20">
        <f t="shared" si="9"/>
        <v>0</v>
      </c>
      <c r="W30" s="3"/>
      <c r="X30" s="3">
        <f t="shared" si="10"/>
        <v>-2471760.67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","5300"," - ","COG$ OFFSET")</f>
        <v xml:space="preserve">          5300 - COG$ OFFSET</v>
      </c>
      <c r="C31" s="12"/>
      <c r="D31" s="3">
        <v>342424.29</v>
      </c>
      <c r="E31" s="3"/>
      <c r="F31" s="20">
        <f t="shared" si="4"/>
        <v>0.43783568724285776</v>
      </c>
      <c r="G31" s="3"/>
      <c r="H31" s="3"/>
      <c r="I31" s="3"/>
      <c r="J31" s="20">
        <f t="shared" si="5"/>
        <v>0</v>
      </c>
      <c r="K31" s="3"/>
      <c r="L31" s="3">
        <f t="shared" si="6"/>
        <v>342424.29</v>
      </c>
      <c r="M31" s="3"/>
      <c r="N31" s="20">
        <f t="shared" si="7"/>
        <v>0</v>
      </c>
      <c r="O31" s="12"/>
      <c r="P31" s="3">
        <v>2237680.06</v>
      </c>
      <c r="Q31" s="3"/>
      <c r="R31" s="20">
        <f t="shared" si="8"/>
        <v>0.46426582352237572</v>
      </c>
      <c r="S31" s="3"/>
      <c r="T31" s="3"/>
      <c r="U31" s="3"/>
      <c r="V31" s="20">
        <f t="shared" si="9"/>
        <v>0</v>
      </c>
      <c r="W31" s="3"/>
      <c r="X31" s="3">
        <f t="shared" si="10"/>
        <v>2237680.06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","5500"," - ","FREIGHT-IN")</f>
        <v xml:space="preserve">          5500 - FREIGHT-IN</v>
      </c>
      <c r="C32" s="12"/>
      <c r="D32" s="3">
        <v>9827.19</v>
      </c>
      <c r="E32" s="3"/>
      <c r="F32" s="20">
        <f t="shared" si="4"/>
        <v>1.2565389234847036E-2</v>
      </c>
      <c r="G32" s="3"/>
      <c r="H32" s="3"/>
      <c r="I32" s="3"/>
      <c r="J32" s="20">
        <f t="shared" si="5"/>
        <v>0</v>
      </c>
      <c r="K32" s="3"/>
      <c r="L32" s="3">
        <f t="shared" si="6"/>
        <v>9827.19</v>
      </c>
      <c r="M32" s="3"/>
      <c r="N32" s="20">
        <f t="shared" si="7"/>
        <v>0</v>
      </c>
      <c r="O32" s="12"/>
      <c r="P32" s="3">
        <v>112671.77</v>
      </c>
      <c r="Q32" s="3"/>
      <c r="R32" s="20">
        <f t="shared" si="8"/>
        <v>2.3376734244471797E-2</v>
      </c>
      <c r="S32" s="3"/>
      <c r="T32" s="3"/>
      <c r="U32" s="3"/>
      <c r="V32" s="20">
        <f t="shared" si="9"/>
        <v>0</v>
      </c>
      <c r="W32" s="3"/>
      <c r="X32" s="3">
        <f t="shared" si="10"/>
        <v>112671.77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25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25">
      <c r="A40" s="11"/>
      <c r="B40" s="28" t="s">
        <v>289</v>
      </c>
      <c r="C40" s="28"/>
      <c r="D40" s="22">
        <f>D12-D19</f>
        <v>439659.71999999991</v>
      </c>
      <c r="E40" s="15"/>
      <c r="F40" s="21">
        <f>IF(D$12=0,0,D40/D$12)</f>
        <v>0.56216431275714229</v>
      </c>
      <c r="G40" s="15"/>
      <c r="H40" s="22">
        <f>H12-H19</f>
        <v>132762</v>
      </c>
      <c r="I40" s="15"/>
      <c r="J40" s="21">
        <f>IF(H$12=0,0,H40/H$12)</f>
        <v>0.5023098489233947</v>
      </c>
      <c r="K40" s="16"/>
      <c r="L40" s="22">
        <f>+D40-H40</f>
        <v>306897.71999999991</v>
      </c>
      <c r="M40" s="16"/>
      <c r="N40" s="21">
        <f>IF(H40=0,0,L40/H40)</f>
        <v>2.3116382699868931</v>
      </c>
      <c r="O40" s="27"/>
      <c r="P40" s="22">
        <f>P12-P19</f>
        <v>2585145.0199999991</v>
      </c>
      <c r="Q40" s="15"/>
      <c r="R40" s="21">
        <f>IF(P$12=0,0,P40/P$12)</f>
        <v>0.5363566057048692</v>
      </c>
      <c r="S40" s="15"/>
      <c r="T40" s="22">
        <f>T12-T19</f>
        <v>1464304</v>
      </c>
      <c r="U40" s="15"/>
      <c r="V40" s="21">
        <f>IF(T$12=0,0,T40/T$12)</f>
        <v>0.49407636348912853</v>
      </c>
      <c r="W40" s="16"/>
      <c r="X40" s="22">
        <f>+P40-T40</f>
        <v>1120841.0199999991</v>
      </c>
      <c r="Y40" s="16"/>
      <c r="Z40" s="21">
        <f>IF(T40=0,0,X40/T40)</f>
        <v>0.76544284520154227</v>
      </c>
    </row>
    <row r="41" spans="1:26" ht="15" customHeight="1" x14ac:dyDescent="0.25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25">
      <c r="A42" s="11"/>
      <c r="B42" s="27" t="s">
        <v>290</v>
      </c>
      <c r="C42" s="11"/>
      <c r="D42" s="23" cm="1">
        <f t="array" ref="D42">SUM(OSRRefD22x_0)</f>
        <v>108772.76999999999</v>
      </c>
      <c r="E42" s="23"/>
      <c r="F42" s="31">
        <f t="shared" ref="F42:F73" si="12">IF(D$12=0,0,D42/D$12)</f>
        <v>0.13908067242034522</v>
      </c>
      <c r="G42" s="23"/>
      <c r="H42" s="23" cm="1">
        <f t="array" ref="H42">SUM(OSRRefH22x_0)</f>
        <v>101708.10274189233</v>
      </c>
      <c r="I42" s="23"/>
      <c r="J42" s="31">
        <f t="shared" ref="J42:J73" si="13">IF(H$12=0,0,H42/H$12)</f>
        <v>0.38481630076802886</v>
      </c>
      <c r="K42" s="5"/>
      <c r="L42" s="23">
        <f t="shared" ref="L42:L73" si="14">+D42-H42</f>
        <v>7064.6672581076564</v>
      </c>
      <c r="M42" s="5"/>
      <c r="N42" s="31">
        <f t="shared" ref="N42:N73" si="15">IF(H42=0,0,L42/H42)</f>
        <v>6.9460220647669255E-2</v>
      </c>
      <c r="O42" s="11"/>
      <c r="P42" s="23" cm="1">
        <f t="array" ref="P42">SUM(OSRRefP22x_0)</f>
        <v>1148771.02</v>
      </c>
      <c r="Q42" s="23"/>
      <c r="R42" s="31">
        <f t="shared" ref="R42:R73" si="16">IF(P$12=0,0,P42/P$12)</f>
        <v>0.23834288608664617</v>
      </c>
      <c r="S42" s="23"/>
      <c r="T42" s="23" cm="1">
        <f t="array" ref="T42">SUM(OSRRefT22x_0)</f>
        <v>1202099.0488129077</v>
      </c>
      <c r="U42" s="23"/>
      <c r="V42" s="31">
        <f t="shared" ref="V42:V73" si="17">IF(T$12=0,0,T42/T$12)</f>
        <v>0.40560479694873591</v>
      </c>
      <c r="W42" s="5"/>
      <c r="X42" s="23">
        <f t="shared" ref="X42:X73" si="18">+P42-T42</f>
        <v>-53328.028812907636</v>
      </c>
      <c r="Y42" s="5"/>
      <c r="Z42" s="31">
        <f t="shared" ref="Z42:Z73" si="19">IF(T42=0,0,X42/T42)</f>
        <v>-4.4362424931264965E-2</v>
      </c>
    </row>
    <row r="43" spans="1:26" s="69" customFormat="1" ht="15" customHeight="1" outlineLevel="1" collapsed="1" x14ac:dyDescent="0.25">
      <c r="A43" s="26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13509.35</v>
      </c>
      <c r="E43" s="2"/>
      <c r="F43" s="6">
        <f t="shared" si="12"/>
        <v>1.7273527942349827E-2</v>
      </c>
      <c r="G43" s="2"/>
      <c r="H43" s="2">
        <f>SUM(OSRRefH22_0x_0)</f>
        <v>20295.277049584627</v>
      </c>
      <c r="I43" s="2"/>
      <c r="J43" s="6">
        <f t="shared" si="13"/>
        <v>7.6787917842720765E-2</v>
      </c>
      <c r="K43" s="2"/>
      <c r="L43" s="2">
        <f t="shared" si="14"/>
        <v>-6785.9270495846267</v>
      </c>
      <c r="M43" s="2"/>
      <c r="N43" s="6">
        <f t="shared" si="15"/>
        <v>-0.33435991206257076</v>
      </c>
      <c r="O43" s="14"/>
      <c r="P43" s="2">
        <f>SUM(OSRRefP22_0x_0)</f>
        <v>159631.48999999996</v>
      </c>
      <c r="Q43" s="2"/>
      <c r="R43" s="6">
        <f t="shared" si="16"/>
        <v>3.3119768321550787E-2</v>
      </c>
      <c r="S43" s="2"/>
      <c r="T43" s="2">
        <f>SUM(OSRRefT22_0x_0)</f>
        <v>230987.55750521561</v>
      </c>
      <c r="U43" s="2"/>
      <c r="V43" s="6">
        <f t="shared" si="17"/>
        <v>7.7938387400029563E-2</v>
      </c>
      <c r="W43" s="2"/>
      <c r="X43" s="2">
        <f t="shared" si="18"/>
        <v>-71356.067505215644</v>
      </c>
      <c r="Y43" s="2"/>
      <c r="Z43" s="6">
        <f t="shared" si="19"/>
        <v>-0.3089173645364186</v>
      </c>
    </row>
    <row r="44" spans="1:26" s="70" customFormat="1" ht="15" hidden="1" customHeight="1" outlineLevel="2" x14ac:dyDescent="0.25">
      <c r="A44" s="25"/>
      <c r="B44" s="12" t="str">
        <f>CONCATENATE("          ","6111"," - ","F.I.C.A.")</f>
        <v xml:space="preserve">          6111 - F.I.C.A.</v>
      </c>
      <c r="C44" s="12"/>
      <c r="D44" s="8">
        <v>3505.36</v>
      </c>
      <c r="E44" s="3"/>
      <c r="F44" s="7">
        <f t="shared" si="12"/>
        <v>4.4820760368186026E-3</v>
      </c>
      <c r="G44" s="3"/>
      <c r="H44" s="8">
        <v>5028.8529399692297</v>
      </c>
      <c r="I44" s="3"/>
      <c r="J44" s="7">
        <f t="shared" si="13"/>
        <v>1.9026847746598526E-2</v>
      </c>
      <c r="K44" s="3"/>
      <c r="L44" s="8">
        <f t="shared" si="14"/>
        <v>-1523.4929399692296</v>
      </c>
      <c r="M44" s="3"/>
      <c r="N44" s="7">
        <f t="shared" si="15"/>
        <v>-0.30295038613289643</v>
      </c>
      <c r="O44" s="12"/>
      <c r="P44" s="8">
        <v>30338.66</v>
      </c>
      <c r="Q44" s="3"/>
      <c r="R44" s="7">
        <f t="shared" si="16"/>
        <v>6.2945562331486113E-3</v>
      </c>
      <c r="S44" s="3"/>
      <c r="T44" s="8">
        <v>54797.7789023308</v>
      </c>
      <c r="U44" s="3"/>
      <c r="V44" s="7">
        <f t="shared" si="17"/>
        <v>1.8489526305565572E-2</v>
      </c>
      <c r="W44" s="3"/>
      <c r="X44" s="8">
        <f t="shared" si="18"/>
        <v>-24459.1189023308</v>
      </c>
      <c r="Y44" s="3"/>
      <c r="Z44" s="7">
        <f t="shared" si="19"/>
        <v>-0.44635237763789076</v>
      </c>
    </row>
    <row r="45" spans="1:26" s="70" customFormat="1" ht="15" hidden="1" customHeight="1" outlineLevel="2" x14ac:dyDescent="0.25">
      <c r="A45" s="25"/>
      <c r="B45" s="12" t="str">
        <f>CONCATENATE("          ","6112"," - ","COMPENSATION INSURANCE")</f>
        <v xml:space="preserve">          6112 - COMPENSATION INSURANCE</v>
      </c>
      <c r="C45" s="12"/>
      <c r="D45" s="8">
        <v>1579.61</v>
      </c>
      <c r="E45" s="3"/>
      <c r="F45" s="7">
        <f t="shared" si="12"/>
        <v>2.0197446563317411E-3</v>
      </c>
      <c r="G45" s="3"/>
      <c r="H45" s="8">
        <v>1062.1958999999999</v>
      </c>
      <c r="I45" s="3"/>
      <c r="J45" s="7">
        <f t="shared" si="13"/>
        <v>4.0188567666655317E-3</v>
      </c>
      <c r="K45" s="3"/>
      <c r="L45" s="8">
        <f t="shared" si="14"/>
        <v>517.41409999999996</v>
      </c>
      <c r="M45" s="3"/>
      <c r="N45" s="7">
        <f t="shared" si="15"/>
        <v>0.48711739519988734</v>
      </c>
      <c r="O45" s="12"/>
      <c r="P45" s="8">
        <v>11196.09</v>
      </c>
      <c r="Q45" s="3"/>
      <c r="R45" s="7">
        <f t="shared" si="16"/>
        <v>2.3229245489547936E-3</v>
      </c>
      <c r="S45" s="3"/>
      <c r="T45" s="8">
        <v>12504.525449999999</v>
      </c>
      <c r="U45" s="3"/>
      <c r="V45" s="7">
        <f t="shared" si="17"/>
        <v>4.2191993339451769E-3</v>
      </c>
      <c r="W45" s="3"/>
      <c r="X45" s="8">
        <f t="shared" si="18"/>
        <v>-1308.435449999999</v>
      </c>
      <c r="Y45" s="3"/>
      <c r="Z45" s="7">
        <f t="shared" si="19"/>
        <v>-0.10463695365584619</v>
      </c>
    </row>
    <row r="46" spans="1:26" s="70" customFormat="1" ht="15" hidden="1" customHeight="1" outlineLevel="2" x14ac:dyDescent="0.25">
      <c r="A46" s="25"/>
      <c r="B46" s="12" t="str">
        <f>CONCATENATE("          ","6113"," - ","GROUP INSURANCE")</f>
        <v xml:space="preserve">          6113 - GROUP INSURANCE</v>
      </c>
      <c r="C46" s="12"/>
      <c r="D46" s="8">
        <v>3834.79</v>
      </c>
      <c r="E46" s="3"/>
      <c r="F46" s="7">
        <f t="shared" si="12"/>
        <v>4.9032967698700303E-3</v>
      </c>
      <c r="G46" s="3"/>
      <c r="H46" s="8">
        <v>7772.9230769230799</v>
      </c>
      <c r="I46" s="3"/>
      <c r="J46" s="7">
        <f t="shared" si="13"/>
        <v>2.9409136774546939E-2</v>
      </c>
      <c r="K46" s="3"/>
      <c r="L46" s="8">
        <f t="shared" si="14"/>
        <v>-3938.1330769230799</v>
      </c>
      <c r="M46" s="3"/>
      <c r="N46" s="7">
        <f t="shared" si="15"/>
        <v>-0.5066476328081706</v>
      </c>
      <c r="O46" s="12"/>
      <c r="P46" s="8">
        <v>49826.400000000001</v>
      </c>
      <c r="Q46" s="3"/>
      <c r="R46" s="7">
        <f t="shared" si="16"/>
        <v>1.0337802549465137E-2</v>
      </c>
      <c r="S46" s="3"/>
      <c r="T46" s="8">
        <v>87939.076923076995</v>
      </c>
      <c r="U46" s="3"/>
      <c r="V46" s="7">
        <f t="shared" si="17"/>
        <v>2.9671857301997825E-2</v>
      </c>
      <c r="W46" s="3"/>
      <c r="X46" s="8">
        <f t="shared" si="18"/>
        <v>-38112.676923076993</v>
      </c>
      <c r="Y46" s="3"/>
      <c r="Z46" s="7">
        <f t="shared" si="19"/>
        <v>-0.43339864661548949</v>
      </c>
    </row>
    <row r="47" spans="1:26" s="70" customFormat="1" ht="15" hidden="1" customHeight="1" outlineLevel="2" x14ac:dyDescent="0.25">
      <c r="A47" s="25"/>
      <c r="B47" s="12" t="str">
        <f>CONCATENATE("          ","6114"," - ","STATE UNEMPLOYMENT INSURANCE")</f>
        <v xml:space="preserve">          6114 - STATE UNEMPLOYMENT INSURANCE</v>
      </c>
      <c r="C47" s="12"/>
      <c r="D47" s="8">
        <v>277.5</v>
      </c>
      <c r="E47" s="3"/>
      <c r="F47" s="7">
        <f t="shared" si="12"/>
        <v>3.5482121671302297E-4</v>
      </c>
      <c r="G47" s="3"/>
      <c r="H47" s="8">
        <v>142.98790961538501</v>
      </c>
      <c r="I47" s="3"/>
      <c r="J47" s="7">
        <f t="shared" si="13"/>
        <v>5.4099994935882302E-4</v>
      </c>
      <c r="K47" s="3"/>
      <c r="L47" s="8">
        <f t="shared" si="14"/>
        <v>134.51209038461499</v>
      </c>
      <c r="M47" s="3"/>
      <c r="N47" s="7">
        <f t="shared" si="15"/>
        <v>0.94072352513181967</v>
      </c>
      <c r="O47" s="12"/>
      <c r="P47" s="8">
        <v>1968.04</v>
      </c>
      <c r="Q47" s="3"/>
      <c r="R47" s="7">
        <f t="shared" si="16"/>
        <v>4.0832187212901929E-4</v>
      </c>
      <c r="S47" s="3"/>
      <c r="T47" s="8">
        <v>1683.30150288462</v>
      </c>
      <c r="U47" s="3"/>
      <c r="V47" s="7">
        <f t="shared" si="17"/>
        <v>5.6796914110800612E-4</v>
      </c>
      <c r="W47" s="3"/>
      <c r="X47" s="8">
        <f t="shared" si="18"/>
        <v>284.73849711537991</v>
      </c>
      <c r="Y47" s="3"/>
      <c r="Z47" s="7">
        <f t="shared" si="19"/>
        <v>0.1691547810225516</v>
      </c>
    </row>
    <row r="48" spans="1:26" s="70" customFormat="1" ht="15" hidden="1" customHeight="1" outlineLevel="2" x14ac:dyDescent="0.25">
      <c r="A48" s="25"/>
      <c r="B48" s="12" t="str">
        <f>CONCATENATE("          ","6115"," - ","P.E.R.S.")</f>
        <v xml:space="preserve">          6115 - P.E.R.S.</v>
      </c>
      <c r="C48" s="12"/>
      <c r="D48" s="8">
        <v>1088.73</v>
      </c>
      <c r="E48" s="3"/>
      <c r="F48" s="7">
        <f t="shared" si="12"/>
        <v>1.3920883000791695E-3</v>
      </c>
      <c r="G48" s="3"/>
      <c r="H48" s="8">
        <v>1413.3438461538501</v>
      </c>
      <c r="I48" s="3"/>
      <c r="J48" s="7">
        <f t="shared" si="13"/>
        <v>5.3474377746520092E-3</v>
      </c>
      <c r="K48" s="3"/>
      <c r="L48" s="8">
        <f t="shared" si="14"/>
        <v>-324.61384615385009</v>
      </c>
      <c r="M48" s="3"/>
      <c r="N48" s="7">
        <f t="shared" si="15"/>
        <v>-0.22967789971083521</v>
      </c>
      <c r="O48" s="12"/>
      <c r="P48" s="8">
        <v>17223.62</v>
      </c>
      <c r="Q48" s="3"/>
      <c r="R48" s="7">
        <f t="shared" si="16"/>
        <v>3.5734948289866159E-3</v>
      </c>
      <c r="S48" s="3"/>
      <c r="T48" s="8">
        <v>16960.126153846199</v>
      </c>
      <c r="U48" s="3"/>
      <c r="V48" s="7">
        <f t="shared" si="17"/>
        <v>5.7225804576161712E-3</v>
      </c>
      <c r="W48" s="3"/>
      <c r="X48" s="8">
        <f t="shared" si="18"/>
        <v>263.4938461538004</v>
      </c>
      <c r="Y48" s="3"/>
      <c r="Z48" s="7">
        <f t="shared" si="19"/>
        <v>1.5536078196803128E-2</v>
      </c>
    </row>
    <row r="49" spans="1:26" s="70" customFormat="1" ht="15" hidden="1" customHeight="1" outlineLevel="2" x14ac:dyDescent="0.25">
      <c r="A49" s="25"/>
      <c r="B49" s="12" t="str">
        <f>CONCATENATE("          ","6116"," - ","EDUCATIONAL BENEFITS")</f>
        <v xml:space="preserve">          6116 - EDUCATIONAL BENEFITS</v>
      </c>
      <c r="C49" s="12"/>
      <c r="D49" s="8"/>
      <c r="E49" s="3"/>
      <c r="F49" s="7">
        <f t="shared" si="12"/>
        <v>0</v>
      </c>
      <c r="G49" s="3"/>
      <c r="H49" s="8">
        <v>0</v>
      </c>
      <c r="I49" s="3"/>
      <c r="J49" s="7">
        <f t="shared" si="13"/>
        <v>0</v>
      </c>
      <c r="K49" s="3"/>
      <c r="L49" s="8">
        <f t="shared" si="14"/>
        <v>0</v>
      </c>
      <c r="M49" s="3"/>
      <c r="N49" s="7">
        <f t="shared" si="15"/>
        <v>0</v>
      </c>
      <c r="O49" s="12"/>
      <c r="P49" s="8"/>
      <c r="Q49" s="3"/>
      <c r="R49" s="7">
        <f t="shared" si="16"/>
        <v>0</v>
      </c>
      <c r="S49" s="3"/>
      <c r="T49" s="8">
        <v>0</v>
      </c>
      <c r="U49" s="3"/>
      <c r="V49" s="7">
        <f t="shared" si="17"/>
        <v>0</v>
      </c>
      <c r="W49" s="3"/>
      <c r="X49" s="8">
        <f t="shared" si="18"/>
        <v>0</v>
      </c>
      <c r="Y49" s="3"/>
      <c r="Z49" s="7">
        <f t="shared" si="19"/>
        <v>0</v>
      </c>
    </row>
    <row r="50" spans="1:26" s="70" customFormat="1" ht="15" hidden="1" customHeight="1" outlineLevel="2" x14ac:dyDescent="0.25">
      <c r="A50" s="25"/>
      <c r="B50" s="12" t="str">
        <f>CONCATENATE("          ","6118"," - ","VACATION")</f>
        <v xml:space="preserve">          6118 - VACATION</v>
      </c>
      <c r="C50" s="12"/>
      <c r="D50" s="8">
        <v>1268.58</v>
      </c>
      <c r="E50" s="3"/>
      <c r="F50" s="7">
        <f t="shared" si="12"/>
        <v>1.6220508075596638E-3</v>
      </c>
      <c r="G50" s="3"/>
      <c r="H50" s="8">
        <v>1233.7115384615399</v>
      </c>
      <c r="I50" s="3"/>
      <c r="J50" s="7">
        <f t="shared" si="13"/>
        <v>4.6677924142425166E-3</v>
      </c>
      <c r="K50" s="3"/>
      <c r="L50" s="8">
        <f t="shared" si="14"/>
        <v>34.868461538459997</v>
      </c>
      <c r="M50" s="3"/>
      <c r="N50" s="7">
        <f t="shared" si="15"/>
        <v>2.8263058625472195E-2</v>
      </c>
      <c r="O50" s="12"/>
      <c r="P50" s="8">
        <v>21384.16</v>
      </c>
      <c r="Q50" s="3"/>
      <c r="R50" s="7">
        <f t="shared" si="16"/>
        <v>4.4367087280271179E-3</v>
      </c>
      <c r="S50" s="3"/>
      <c r="T50" s="8">
        <v>14804.538461538499</v>
      </c>
      <c r="U50" s="3"/>
      <c r="V50" s="7">
        <f t="shared" si="17"/>
        <v>4.9952554430035562E-3</v>
      </c>
      <c r="W50" s="3"/>
      <c r="X50" s="8">
        <f t="shared" si="18"/>
        <v>6579.6215384615007</v>
      </c>
      <c r="Y50" s="3"/>
      <c r="Z50" s="7">
        <f t="shared" si="19"/>
        <v>0.44443273632305735</v>
      </c>
    </row>
    <row r="51" spans="1:26" s="70" customFormat="1" ht="15" hidden="1" customHeight="1" outlineLevel="2" x14ac:dyDescent="0.25">
      <c r="A51" s="25"/>
      <c r="B51" s="12" t="str">
        <f>CONCATENATE("          ","6119"," - ","SICK LEAVE")</f>
        <v xml:space="preserve">          6119 - SICK LEAVE</v>
      </c>
      <c r="C51" s="12"/>
      <c r="D51" s="8">
        <v>1145.42</v>
      </c>
      <c r="E51" s="3"/>
      <c r="F51" s="7">
        <f t="shared" si="12"/>
        <v>1.4645741190898408E-3</v>
      </c>
      <c r="G51" s="3"/>
      <c r="H51" s="8">
        <v>2766.2618384615398</v>
      </c>
      <c r="I51" s="3"/>
      <c r="J51" s="7">
        <f t="shared" si="13"/>
        <v>1.0466252136606621E-2</v>
      </c>
      <c r="K51" s="3"/>
      <c r="L51" s="8">
        <f t="shared" si="14"/>
        <v>-1620.8418384615397</v>
      </c>
      <c r="M51" s="3"/>
      <c r="N51" s="7">
        <f t="shared" si="15"/>
        <v>-0.58593218325383578</v>
      </c>
      <c r="O51" s="12"/>
      <c r="P51" s="8">
        <v>18701.43</v>
      </c>
      <c r="Q51" s="3"/>
      <c r="R51" s="7">
        <f t="shared" si="16"/>
        <v>3.8801055410915457E-3</v>
      </c>
      <c r="S51" s="3"/>
      <c r="T51" s="8">
        <v>32673.210111538501</v>
      </c>
      <c r="U51" s="3"/>
      <c r="V51" s="7">
        <f t="shared" si="17"/>
        <v>1.1024391680569859E-2</v>
      </c>
      <c r="W51" s="3"/>
      <c r="X51" s="8">
        <f t="shared" si="18"/>
        <v>-13971.780111538501</v>
      </c>
      <c r="Y51" s="3"/>
      <c r="Z51" s="7">
        <f t="shared" si="19"/>
        <v>-0.42762189769056042</v>
      </c>
    </row>
    <row r="52" spans="1:26" s="70" customFormat="1" ht="15" hidden="1" customHeight="1" outlineLevel="2" x14ac:dyDescent="0.25">
      <c r="A52" s="25"/>
      <c r="B52" s="12" t="str">
        <f>CONCATENATE("          ","6156"," - ","EMPLOYEE MEALS")</f>
        <v xml:space="preserve">          6156 - EMPLOYEE MEALS</v>
      </c>
      <c r="C52" s="12"/>
      <c r="D52" s="8">
        <v>809.36</v>
      </c>
      <c r="E52" s="3"/>
      <c r="F52" s="7">
        <f t="shared" si="12"/>
        <v>1.034876035887756E-3</v>
      </c>
      <c r="G52" s="3"/>
      <c r="H52" s="8">
        <v>875</v>
      </c>
      <c r="I52" s="3"/>
      <c r="J52" s="7">
        <f t="shared" si="13"/>
        <v>3.3105942800497916E-3</v>
      </c>
      <c r="K52" s="3"/>
      <c r="L52" s="8">
        <f t="shared" si="14"/>
        <v>-65.639999999999986</v>
      </c>
      <c r="M52" s="3"/>
      <c r="N52" s="7">
        <f t="shared" si="15"/>
        <v>-7.5017142857142838E-2</v>
      </c>
      <c r="O52" s="12"/>
      <c r="P52" s="8">
        <v>8993.09</v>
      </c>
      <c r="Q52" s="3"/>
      <c r="R52" s="7">
        <f t="shared" si="16"/>
        <v>1.8658540197479536E-3</v>
      </c>
      <c r="S52" s="3"/>
      <c r="T52" s="8">
        <v>9625</v>
      </c>
      <c r="U52" s="3"/>
      <c r="V52" s="7">
        <f t="shared" si="17"/>
        <v>3.2476077362233948E-3</v>
      </c>
      <c r="W52" s="3"/>
      <c r="X52" s="8">
        <f t="shared" si="18"/>
        <v>-631.90999999999985</v>
      </c>
      <c r="Y52" s="3"/>
      <c r="Z52" s="7">
        <f t="shared" si="19"/>
        <v>-6.5652987012986996E-2</v>
      </c>
    </row>
    <row r="53" spans="1:26" s="69" customFormat="1" ht="15" customHeight="1" outlineLevel="1" collapsed="1" x14ac:dyDescent="0.25">
      <c r="A53" s="26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75779.399999999994</v>
      </c>
      <c r="E53" s="2"/>
      <c r="F53" s="6">
        <f t="shared" si="12"/>
        <v>9.6894194269487754E-2</v>
      </c>
      <c r="G53" s="2"/>
      <c r="H53" s="2">
        <f>SUM(OSRRefH22_1x_0)</f>
        <v>65046.825692307699</v>
      </c>
      <c r="I53" s="2"/>
      <c r="J53" s="6">
        <f t="shared" si="13"/>
        <v>0.24610702751125677</v>
      </c>
      <c r="K53" s="2"/>
      <c r="L53" s="2">
        <f t="shared" si="14"/>
        <v>10732.574307692295</v>
      </c>
      <c r="M53" s="2"/>
      <c r="N53" s="6">
        <f t="shared" si="15"/>
        <v>0.16499766427436147</v>
      </c>
      <c r="O53" s="14"/>
      <c r="P53" s="2">
        <f>SUM(OSRRefP22_1x_0)</f>
        <v>749368.85</v>
      </c>
      <c r="Q53" s="2"/>
      <c r="R53" s="6">
        <f t="shared" si="16"/>
        <v>0.15547635807563376</v>
      </c>
      <c r="S53" s="2"/>
      <c r="T53" s="2">
        <f>SUM(OSRRefT22_1x_0)</f>
        <v>765202.4913076919</v>
      </c>
      <c r="U53" s="2"/>
      <c r="V53" s="6">
        <f t="shared" si="17"/>
        <v>0.2581898733037169</v>
      </c>
      <c r="W53" s="2"/>
      <c r="X53" s="2">
        <f t="shared" si="18"/>
        <v>-15833.641307691927</v>
      </c>
      <c r="Y53" s="2"/>
      <c r="Z53" s="6">
        <f t="shared" si="19"/>
        <v>-2.0692093253163676E-2</v>
      </c>
    </row>
    <row r="54" spans="1:26" s="70" customFormat="1" ht="15" hidden="1" customHeight="1" outlineLevel="2" x14ac:dyDescent="0.25">
      <c r="A54" s="25"/>
      <c r="B54" s="12" t="str">
        <f>CONCATENATE("          ","6001"," - ","ADMINISTRATIVE SALARIES")</f>
        <v xml:space="preserve">          6001 - ADMINISTRATIVE SALARIES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25">
      <c r="A55" s="25"/>
      <c r="B55" s="12" t="str">
        <f>CONCATENATE("          ","6002"," - ","STAFF SALARIES")</f>
        <v xml:space="preserve">          6002 - STAFF SALARIES</v>
      </c>
      <c r="C55" s="12"/>
      <c r="D55" s="8">
        <v>10399.040000000001</v>
      </c>
      <c r="E55" s="3"/>
      <c r="F55" s="7">
        <f t="shared" si="12"/>
        <v>1.32965766682789E-2</v>
      </c>
      <c r="G55" s="3"/>
      <c r="H55" s="8">
        <v>14790.807692307701</v>
      </c>
      <c r="I55" s="3"/>
      <c r="J55" s="7">
        <f t="shared" si="13"/>
        <v>5.5961558106823232E-2</v>
      </c>
      <c r="K55" s="3"/>
      <c r="L55" s="8">
        <f t="shared" si="14"/>
        <v>-4391.7676923076997</v>
      </c>
      <c r="M55" s="3"/>
      <c r="N55" s="7">
        <f t="shared" si="15"/>
        <v>-0.29692548126305091</v>
      </c>
      <c r="O55" s="12"/>
      <c r="P55" s="8">
        <v>168288.56</v>
      </c>
      <c r="Q55" s="3"/>
      <c r="R55" s="7">
        <f t="shared" si="16"/>
        <v>3.4915906118319136E-2</v>
      </c>
      <c r="S55" s="3"/>
      <c r="T55" s="8">
        <v>177489.69230769199</v>
      </c>
      <c r="U55" s="3"/>
      <c r="V55" s="7">
        <f t="shared" si="17"/>
        <v>5.9887469905285248E-2</v>
      </c>
      <c r="W55" s="3"/>
      <c r="X55" s="8">
        <f t="shared" si="18"/>
        <v>-9201.1323076919944</v>
      </c>
      <c r="Y55" s="3"/>
      <c r="Z55" s="7">
        <f t="shared" si="19"/>
        <v>-5.1840375562436189E-2</v>
      </c>
    </row>
    <row r="56" spans="1:26" s="70" customFormat="1" ht="15" hidden="1" customHeight="1" outlineLevel="2" x14ac:dyDescent="0.25">
      <c r="A56" s="25"/>
      <c r="B56" s="12" t="str">
        <f>CONCATENATE("          ","6003"," - ","STAFF HOURLY-9 MONTH")</f>
        <v xml:space="preserve">          6003 - STAFF HOURLY-9 MONTH</v>
      </c>
      <c r="C56" s="12"/>
      <c r="D56" s="8"/>
      <c r="E56" s="3"/>
      <c r="F56" s="7">
        <f t="shared" si="12"/>
        <v>0</v>
      </c>
      <c r="G56" s="3"/>
      <c r="H56" s="8">
        <v>0</v>
      </c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25">
      <c r="A57" s="25"/>
      <c r="B57" s="12" t="str">
        <f>CONCATENATE("          ","6004"," - ","STAFF HOURLY")</f>
        <v xml:space="preserve">          6004 - STAFF HOURLY</v>
      </c>
      <c r="C57" s="12"/>
      <c r="D57" s="8">
        <v>13469.41</v>
      </c>
      <c r="E57" s="3"/>
      <c r="F57" s="7">
        <f t="shared" si="12"/>
        <v>1.7222459259843455E-2</v>
      </c>
      <c r="G57" s="3"/>
      <c r="H57" s="8">
        <v>18345.407999999999</v>
      </c>
      <c r="I57" s="3"/>
      <c r="J57" s="7">
        <f t="shared" si="13"/>
        <v>6.9410517474262495E-2</v>
      </c>
      <c r="K57" s="3"/>
      <c r="L57" s="8">
        <f t="shared" si="14"/>
        <v>-4875.9979999999996</v>
      </c>
      <c r="M57" s="3"/>
      <c r="N57" s="7">
        <f t="shared" si="15"/>
        <v>-0.2657884741511336</v>
      </c>
      <c r="O57" s="12"/>
      <c r="P57" s="8">
        <v>116118.3</v>
      </c>
      <c r="Q57" s="3"/>
      <c r="R57" s="7">
        <f t="shared" si="16"/>
        <v>2.4091807912663923E-2</v>
      </c>
      <c r="S57" s="3"/>
      <c r="T57" s="8">
        <v>217442.94399999999</v>
      </c>
      <c r="U57" s="3"/>
      <c r="V57" s="7">
        <f t="shared" si="17"/>
        <v>7.3368248012632767E-2</v>
      </c>
      <c r="W57" s="3"/>
      <c r="X57" s="8">
        <f t="shared" si="18"/>
        <v>-101324.64399999999</v>
      </c>
      <c r="Y57" s="3"/>
      <c r="Z57" s="7">
        <f t="shared" si="19"/>
        <v>-0.46598267175779218</v>
      </c>
    </row>
    <row r="58" spans="1:26" s="70" customFormat="1" ht="15" hidden="1" customHeight="1" outlineLevel="2" x14ac:dyDescent="0.25">
      <c r="A58" s="25"/>
      <c r="B58" s="12" t="str">
        <f>CONCATENATE("          ","6005"," - ","TEMPORARY WAGES-HOURLY")</f>
        <v xml:space="preserve">          6005 - TEMPORARY WAGES-HOURLY</v>
      </c>
      <c r="C58" s="12"/>
      <c r="D58" s="8"/>
      <c r="E58" s="3"/>
      <c r="F58" s="7">
        <f t="shared" si="12"/>
        <v>0</v>
      </c>
      <c r="G58" s="3"/>
      <c r="H58" s="8">
        <v>0</v>
      </c>
      <c r="I58" s="3"/>
      <c r="J58" s="7">
        <f t="shared" si="13"/>
        <v>0</v>
      </c>
      <c r="K58" s="3"/>
      <c r="L58" s="8">
        <f t="shared" si="14"/>
        <v>0</v>
      </c>
      <c r="M58" s="3"/>
      <c r="N58" s="7">
        <f t="shared" si="15"/>
        <v>0</v>
      </c>
      <c r="O58" s="12"/>
      <c r="P58" s="8">
        <v>30321.59</v>
      </c>
      <c r="Q58" s="3"/>
      <c r="R58" s="7">
        <f t="shared" si="16"/>
        <v>6.2910146108455878E-3</v>
      </c>
      <c r="S58" s="3"/>
      <c r="T58" s="8">
        <v>0</v>
      </c>
      <c r="U58" s="3"/>
      <c r="V58" s="7">
        <f t="shared" si="17"/>
        <v>0</v>
      </c>
      <c r="W58" s="3"/>
      <c r="X58" s="8">
        <f t="shared" si="18"/>
        <v>30321.59</v>
      </c>
      <c r="Y58" s="3"/>
      <c r="Z58" s="7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","6006"," - ","TEMPORARY PART TIME")</f>
        <v xml:space="preserve">          6006 - TEMPORARY PART TIME</v>
      </c>
      <c r="C59" s="12"/>
      <c r="D59" s="8"/>
      <c r="E59" s="3"/>
      <c r="F59" s="7">
        <f t="shared" si="12"/>
        <v>0</v>
      </c>
      <c r="G59" s="3"/>
      <c r="H59" s="8">
        <v>0</v>
      </c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25">
      <c r="A60" s="25"/>
      <c r="B60" s="12" t="str">
        <f>CONCATENATE("          ","6007"," - ","STUDENT HOURLY")</f>
        <v xml:space="preserve">          6007 - STUDENT HOURLY</v>
      </c>
      <c r="C60" s="12"/>
      <c r="D60" s="8">
        <v>43312.19</v>
      </c>
      <c r="E60" s="3"/>
      <c r="F60" s="7">
        <f t="shared" si="12"/>
        <v>5.5380482718218479E-2</v>
      </c>
      <c r="G60" s="3"/>
      <c r="H60" s="8">
        <v>29532</v>
      </c>
      <c r="I60" s="3"/>
      <c r="J60" s="7">
        <f t="shared" si="13"/>
        <v>0.1117353946039205</v>
      </c>
      <c r="K60" s="3"/>
      <c r="L60" s="8">
        <f t="shared" si="14"/>
        <v>13780.190000000002</v>
      </c>
      <c r="M60" s="3"/>
      <c r="N60" s="7">
        <f t="shared" si="15"/>
        <v>0.46661892184748754</v>
      </c>
      <c r="O60" s="12"/>
      <c r="P60" s="8">
        <v>346387.29</v>
      </c>
      <c r="Q60" s="3"/>
      <c r="R60" s="7">
        <f t="shared" si="16"/>
        <v>7.1867191080718651E-2</v>
      </c>
      <c r="S60" s="3"/>
      <c r="T60" s="8">
        <v>284727.75</v>
      </c>
      <c r="U60" s="3"/>
      <c r="V60" s="7">
        <f t="shared" si="17"/>
        <v>9.6071069466751244E-2</v>
      </c>
      <c r="W60" s="3"/>
      <c r="X60" s="8">
        <f t="shared" si="18"/>
        <v>61659.539999999979</v>
      </c>
      <c r="Y60" s="3"/>
      <c r="Z60" s="7">
        <f t="shared" si="19"/>
        <v>0.21655613125169562</v>
      </c>
    </row>
    <row r="61" spans="1:26" s="70" customFormat="1" ht="15" hidden="1" customHeight="1" outlineLevel="2" x14ac:dyDescent="0.25">
      <c r="A61" s="25"/>
      <c r="B61" s="12" t="str">
        <f>CONCATENATE("          ","6008"," - ","STUDENT HOURLY-FICA EXEMPT")</f>
        <v xml:space="preserve">          6008 - STUDENT HOURLY-FICA EXEMPT</v>
      </c>
      <c r="C61" s="12"/>
      <c r="D61" s="8">
        <v>8598.76</v>
      </c>
      <c r="E61" s="3"/>
      <c r="F61" s="7">
        <f t="shared" si="12"/>
        <v>1.0994675623146932E-2</v>
      </c>
      <c r="G61" s="3"/>
      <c r="H61" s="8">
        <v>2378.61</v>
      </c>
      <c r="I61" s="3"/>
      <c r="J61" s="7">
        <f t="shared" si="13"/>
        <v>8.9995573262505544E-3</v>
      </c>
      <c r="K61" s="3"/>
      <c r="L61" s="8">
        <f t="shared" si="14"/>
        <v>6220.15</v>
      </c>
      <c r="M61" s="3"/>
      <c r="N61" s="7">
        <f t="shared" si="15"/>
        <v>2.6150356720942058</v>
      </c>
      <c r="O61" s="12"/>
      <c r="P61" s="8">
        <v>88253.11</v>
      </c>
      <c r="Q61" s="3"/>
      <c r="R61" s="7">
        <f t="shared" si="16"/>
        <v>1.8310438353086461E-2</v>
      </c>
      <c r="S61" s="3"/>
      <c r="T61" s="8">
        <v>85542.104999999996</v>
      </c>
      <c r="U61" s="3"/>
      <c r="V61" s="7">
        <f t="shared" si="17"/>
        <v>2.8863085919047682E-2</v>
      </c>
      <c r="W61" s="3"/>
      <c r="X61" s="8">
        <f t="shared" si="18"/>
        <v>2711.0050000000047</v>
      </c>
      <c r="Y61" s="3"/>
      <c r="Z61" s="7">
        <f t="shared" si="19"/>
        <v>3.1692053872183816E-2</v>
      </c>
    </row>
    <row r="62" spans="1:26" s="70" customFormat="1" ht="15" hidden="1" customHeight="1" outlineLevel="2" x14ac:dyDescent="0.25">
      <c r="A62" s="25"/>
      <c r="B62" s="12" t="str">
        <f>CONCATENATE("          ","6009"," - ","TEMPORARY-SEASONAL")</f>
        <v xml:space="preserve">          6009 - TEMPORARY-SEASONAL</v>
      </c>
      <c r="C62" s="12"/>
      <c r="D62" s="8"/>
      <c r="E62" s="3"/>
      <c r="F62" s="7">
        <f t="shared" si="12"/>
        <v>0</v>
      </c>
      <c r="G62" s="3"/>
      <c r="H62" s="8">
        <v>0</v>
      </c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/>
      <c r="Q62" s="3"/>
      <c r="R62" s="7">
        <f t="shared" si="16"/>
        <v>0</v>
      </c>
      <c r="S62" s="3"/>
      <c r="T62" s="8">
        <v>0</v>
      </c>
      <c r="U62" s="3"/>
      <c r="V62" s="7">
        <f t="shared" si="17"/>
        <v>0</v>
      </c>
      <c r="W62" s="3"/>
      <c r="X62" s="8">
        <f t="shared" si="18"/>
        <v>0</v>
      </c>
      <c r="Y62" s="3"/>
      <c r="Z62" s="7">
        <f t="shared" si="19"/>
        <v>0</v>
      </c>
    </row>
    <row r="63" spans="1:26" s="70" customFormat="1" ht="15" hidden="1" customHeight="1" outlineLevel="2" x14ac:dyDescent="0.25">
      <c r="A63" s="25"/>
      <c r="B63" s="12" t="str">
        <f>CONCATENATE("          ","6010"," - ","GRATUITY")</f>
        <v xml:space="preserve">          6010 - GRATUITY</v>
      </c>
      <c r="C63" s="12"/>
      <c r="D63" s="8"/>
      <c r="E63" s="3"/>
      <c r="F63" s="7">
        <f t="shared" si="12"/>
        <v>0</v>
      </c>
      <c r="G63" s="3"/>
      <c r="H63" s="8">
        <v>0</v>
      </c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2"/>
      <c r="P63" s="8"/>
      <c r="Q63" s="3"/>
      <c r="R63" s="7">
        <f t="shared" si="16"/>
        <v>0</v>
      </c>
      <c r="S63" s="3"/>
      <c r="T63" s="8">
        <v>0</v>
      </c>
      <c r="U63" s="3"/>
      <c r="V63" s="7">
        <f t="shared" si="17"/>
        <v>0</v>
      </c>
      <c r="W63" s="3"/>
      <c r="X63" s="8">
        <f t="shared" si="18"/>
        <v>0</v>
      </c>
      <c r="Y63" s="3"/>
      <c r="Z63" s="7">
        <f t="shared" si="19"/>
        <v>0</v>
      </c>
    </row>
    <row r="64" spans="1:26" s="69" customFormat="1" ht="15" customHeight="1" outlineLevel="1" collapsed="1" x14ac:dyDescent="0.25">
      <c r="A64" s="26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1245.48</v>
      </c>
      <c r="E64" s="2"/>
      <c r="F64" s="6">
        <f t="shared" si="12"/>
        <v>1.5925143387089582E-3</v>
      </c>
      <c r="G64" s="2"/>
      <c r="H64" s="2">
        <f>SUM(OSRRefH22_2x_0)</f>
        <v>100</v>
      </c>
      <c r="I64" s="2"/>
      <c r="J64" s="6">
        <f t="shared" si="13"/>
        <v>3.7835363200569046E-4</v>
      </c>
      <c r="K64" s="2"/>
      <c r="L64" s="2">
        <f t="shared" si="14"/>
        <v>1145.48</v>
      </c>
      <c r="M64" s="2"/>
      <c r="N64" s="6">
        <f t="shared" si="15"/>
        <v>11.454800000000001</v>
      </c>
      <c r="O64" s="14"/>
      <c r="P64" s="2">
        <f>SUM(OSRRefP22_2x_0)</f>
        <v>10465.57</v>
      </c>
      <c r="Q64" s="2"/>
      <c r="R64" s="6">
        <f t="shared" si="16"/>
        <v>2.1713588825924782E-3</v>
      </c>
      <c r="S64" s="2"/>
      <c r="T64" s="2">
        <f>SUM(OSRRefT22_2x_0)</f>
        <v>2500</v>
      </c>
      <c r="U64" s="2"/>
      <c r="V64" s="6">
        <f t="shared" si="17"/>
        <v>8.4353447694114159E-4</v>
      </c>
      <c r="W64" s="2"/>
      <c r="X64" s="2">
        <f t="shared" si="18"/>
        <v>7965.57</v>
      </c>
      <c r="Y64" s="2"/>
      <c r="Z64" s="6">
        <f t="shared" si="19"/>
        <v>3.1862279999999998</v>
      </c>
    </row>
    <row r="65" spans="1:26" s="70" customFormat="1" ht="15" hidden="1" customHeight="1" outlineLevel="2" x14ac:dyDescent="0.25">
      <c r="A65" s="25"/>
      <c r="B65" s="12" t="str">
        <f>CONCATENATE("          ","6362"," - ","ADVERTISING EXPENSE")</f>
        <v xml:space="preserve">          6362 - ADVERTISING EXPENSE</v>
      </c>
      <c r="C65" s="12"/>
      <c r="D65" s="8">
        <v>1245.48</v>
      </c>
      <c r="E65" s="3"/>
      <c r="F65" s="7">
        <f t="shared" si="12"/>
        <v>1.5925143387089582E-3</v>
      </c>
      <c r="G65" s="3"/>
      <c r="H65" s="8">
        <v>100</v>
      </c>
      <c r="I65" s="3"/>
      <c r="J65" s="7">
        <f t="shared" si="13"/>
        <v>3.7835363200569046E-4</v>
      </c>
      <c r="K65" s="3"/>
      <c r="L65" s="8">
        <f t="shared" si="14"/>
        <v>1145.48</v>
      </c>
      <c r="M65" s="3"/>
      <c r="N65" s="7">
        <f t="shared" si="15"/>
        <v>11.454800000000001</v>
      </c>
      <c r="O65" s="12"/>
      <c r="P65" s="8">
        <v>10465.57</v>
      </c>
      <c r="Q65" s="3"/>
      <c r="R65" s="7">
        <f t="shared" si="16"/>
        <v>2.1713588825924782E-3</v>
      </c>
      <c r="S65" s="3"/>
      <c r="T65" s="8">
        <v>2500</v>
      </c>
      <c r="U65" s="3"/>
      <c r="V65" s="7">
        <f t="shared" si="17"/>
        <v>8.4353447694114159E-4</v>
      </c>
      <c r="W65" s="3"/>
      <c r="X65" s="8">
        <f t="shared" si="18"/>
        <v>7965.57</v>
      </c>
      <c r="Y65" s="3"/>
      <c r="Z65" s="7">
        <f t="shared" si="19"/>
        <v>3.1862279999999998</v>
      </c>
    </row>
    <row r="66" spans="1:26" s="69" customFormat="1" ht="15" customHeight="1" outlineLevel="1" collapsed="1" x14ac:dyDescent="0.25">
      <c r="A66" s="26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-4.0199999999999996</v>
      </c>
      <c r="E66" s="2"/>
      <c r="F66" s="6">
        <f t="shared" si="12"/>
        <v>-5.1401127610319003E-6</v>
      </c>
      <c r="G66" s="2"/>
      <c r="H66" s="2">
        <f>SUM(OSRRefH22_3x_0)</f>
        <v>10</v>
      </c>
      <c r="I66" s="2"/>
      <c r="J66" s="6">
        <f t="shared" si="13"/>
        <v>3.7835363200569046E-5</v>
      </c>
      <c r="K66" s="2"/>
      <c r="L66" s="2">
        <f t="shared" si="14"/>
        <v>-14.02</v>
      </c>
      <c r="M66" s="2"/>
      <c r="N66" s="6">
        <f t="shared" si="15"/>
        <v>-1.4019999999999999</v>
      </c>
      <c r="O66" s="14"/>
      <c r="P66" s="2">
        <f>SUM(OSRRefP22_3x_0)</f>
        <v>-52.93</v>
      </c>
      <c r="Q66" s="2"/>
      <c r="R66" s="6">
        <f t="shared" si="16"/>
        <v>-1.0981726332690897E-5</v>
      </c>
      <c r="S66" s="2"/>
      <c r="T66" s="2">
        <f>SUM(OSRRefT22_3x_0)</f>
        <v>110</v>
      </c>
      <c r="U66" s="2"/>
      <c r="V66" s="6">
        <f t="shared" si="17"/>
        <v>3.7115516985410231E-5</v>
      </c>
      <c r="W66" s="2"/>
      <c r="X66" s="2">
        <f t="shared" si="18"/>
        <v>-162.93</v>
      </c>
      <c r="Y66" s="2"/>
      <c r="Z66" s="6">
        <f t="shared" si="19"/>
        <v>-1.4811818181818182</v>
      </c>
    </row>
    <row r="67" spans="1:26" s="70" customFormat="1" ht="15" hidden="1" customHeight="1" outlineLevel="2" x14ac:dyDescent="0.25">
      <c r="A67" s="25"/>
      <c r="B67" s="12" t="str">
        <f>CONCATENATE("          ","6272"," - ","CASH (OVER/SHORT)")</f>
        <v xml:space="preserve">          6272 - CASH (OVER/SHORT)</v>
      </c>
      <c r="C67" s="12"/>
      <c r="D67" s="8">
        <v>-4.0199999999999996</v>
      </c>
      <c r="E67" s="3"/>
      <c r="F67" s="7">
        <f t="shared" si="12"/>
        <v>-5.1401127610319003E-6</v>
      </c>
      <c r="G67" s="3"/>
      <c r="H67" s="8">
        <v>10</v>
      </c>
      <c r="I67" s="3"/>
      <c r="J67" s="7">
        <f t="shared" si="13"/>
        <v>3.7835363200569046E-5</v>
      </c>
      <c r="K67" s="3"/>
      <c r="L67" s="8">
        <f t="shared" si="14"/>
        <v>-14.02</v>
      </c>
      <c r="M67" s="3"/>
      <c r="N67" s="7">
        <f t="shared" si="15"/>
        <v>-1.4019999999999999</v>
      </c>
      <c r="O67" s="12"/>
      <c r="P67" s="8">
        <v>-52.93</v>
      </c>
      <c r="Q67" s="3"/>
      <c r="R67" s="7">
        <f t="shared" si="16"/>
        <v>-1.0981726332690897E-5</v>
      </c>
      <c r="S67" s="3"/>
      <c r="T67" s="8">
        <v>110</v>
      </c>
      <c r="U67" s="3"/>
      <c r="V67" s="7">
        <f t="shared" si="17"/>
        <v>3.7115516985410231E-5</v>
      </c>
      <c r="W67" s="3"/>
      <c r="X67" s="8">
        <f t="shared" si="18"/>
        <v>-162.93</v>
      </c>
      <c r="Y67" s="3"/>
      <c r="Z67" s="7">
        <f t="shared" si="19"/>
        <v>-1.4811818181818182</v>
      </c>
    </row>
    <row r="68" spans="1:26" s="69" customFormat="1" ht="15" customHeight="1" outlineLevel="1" collapsed="1" x14ac:dyDescent="0.25">
      <c r="A68" s="26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855.75</v>
      </c>
      <c r="E68" s="2"/>
      <c r="F68" s="6">
        <f t="shared" si="12"/>
        <v>1.0941919142420521E-3</v>
      </c>
      <c r="G68" s="2"/>
      <c r="H68" s="2">
        <f>SUM(OSRRefH22_4x_0)</f>
        <v>1229</v>
      </c>
      <c r="I68" s="2"/>
      <c r="J68" s="6">
        <f t="shared" si="13"/>
        <v>4.6499661373499354E-3</v>
      </c>
      <c r="K68" s="2"/>
      <c r="L68" s="2">
        <f t="shared" si="14"/>
        <v>-373.25</v>
      </c>
      <c r="M68" s="2"/>
      <c r="N68" s="6">
        <f t="shared" si="15"/>
        <v>-0.30370219690805533</v>
      </c>
      <c r="O68" s="14"/>
      <c r="P68" s="2">
        <f>SUM(OSRRefP22_4x_0)</f>
        <v>6201.47</v>
      </c>
      <c r="Q68" s="2"/>
      <c r="R68" s="6">
        <f t="shared" si="16"/>
        <v>1.2866587266274819E-3</v>
      </c>
      <c r="S68" s="2"/>
      <c r="T68" s="2">
        <f>SUM(OSRRefT22_4x_0)</f>
        <v>7045</v>
      </c>
      <c r="U68" s="2"/>
      <c r="V68" s="6">
        <f t="shared" si="17"/>
        <v>2.3770801560201366E-3</v>
      </c>
      <c r="W68" s="2"/>
      <c r="X68" s="2">
        <f t="shared" si="18"/>
        <v>-843.52999999999975</v>
      </c>
      <c r="Y68" s="2"/>
      <c r="Z68" s="6">
        <f t="shared" si="19"/>
        <v>-0.11973456352022707</v>
      </c>
    </row>
    <row r="69" spans="1:26" s="70" customFormat="1" ht="15" hidden="1" customHeight="1" outlineLevel="2" x14ac:dyDescent="0.25">
      <c r="A69" s="25"/>
      <c r="B69" s="12" t="str">
        <f>CONCATENATE("          ","6381"," - ","BANK/CREDIT CARD FEES")</f>
        <v xml:space="preserve">          6381 - BANK/CREDIT CARD FEES</v>
      </c>
      <c r="C69" s="12"/>
      <c r="D69" s="8">
        <v>855.75</v>
      </c>
      <c r="E69" s="3"/>
      <c r="F69" s="7">
        <f t="shared" si="12"/>
        <v>1.0941919142420521E-3</v>
      </c>
      <c r="G69" s="3"/>
      <c r="H69" s="8">
        <v>1229</v>
      </c>
      <c r="I69" s="3"/>
      <c r="J69" s="7">
        <f t="shared" si="13"/>
        <v>4.6499661373499354E-3</v>
      </c>
      <c r="K69" s="3"/>
      <c r="L69" s="8">
        <f t="shared" si="14"/>
        <v>-373.25</v>
      </c>
      <c r="M69" s="3"/>
      <c r="N69" s="7">
        <f t="shared" si="15"/>
        <v>-0.30370219690805533</v>
      </c>
      <c r="O69" s="12"/>
      <c r="P69" s="8">
        <v>6201.47</v>
      </c>
      <c r="Q69" s="3"/>
      <c r="R69" s="7">
        <f t="shared" si="16"/>
        <v>1.2866587266274819E-3</v>
      </c>
      <c r="S69" s="3"/>
      <c r="T69" s="8">
        <v>7045</v>
      </c>
      <c r="U69" s="3"/>
      <c r="V69" s="7">
        <f t="shared" si="17"/>
        <v>2.3770801560201366E-3</v>
      </c>
      <c r="W69" s="3"/>
      <c r="X69" s="8">
        <f t="shared" si="18"/>
        <v>-843.52999999999975</v>
      </c>
      <c r="Y69" s="3"/>
      <c r="Z69" s="7">
        <f t="shared" si="19"/>
        <v>-0.11973456352022707</v>
      </c>
    </row>
    <row r="70" spans="1:26" s="69" customFormat="1" ht="15" customHeight="1" outlineLevel="1" collapsed="1" x14ac:dyDescent="0.25">
      <c r="A70" s="26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25">
      <c r="A71" s="25"/>
      <c r="B71" s="12" t="str">
        <f>CONCATENATE("          ","9175"," - ","EARNED DISCOUNTS")</f>
        <v xml:space="preserve">          9175 - EARNED DISCOUNTS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0</v>
      </c>
      <c r="Q71" s="3"/>
      <c r="R71" s="7">
        <f t="shared" si="16"/>
        <v>0</v>
      </c>
      <c r="S71" s="3"/>
      <c r="T71" s="8"/>
      <c r="U71" s="3"/>
      <c r="V71" s="7">
        <f t="shared" si="17"/>
        <v>0</v>
      </c>
      <c r="W71" s="3"/>
      <c r="X71" s="8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25">
      <c r="A72" s="26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0</v>
      </c>
      <c r="E72" s="2"/>
      <c r="F72" s="6">
        <f t="shared" si="12"/>
        <v>0</v>
      </c>
      <c r="G72" s="2"/>
      <c r="H72" s="2">
        <f>SUM(OSRRefH22_6x_0)</f>
        <v>75</v>
      </c>
      <c r="I72" s="2"/>
      <c r="J72" s="6">
        <f t="shared" si="13"/>
        <v>2.8376522400426783E-4</v>
      </c>
      <c r="K72" s="2"/>
      <c r="L72" s="2">
        <f t="shared" si="14"/>
        <v>-75</v>
      </c>
      <c r="M72" s="2"/>
      <c r="N72" s="6">
        <f t="shared" si="15"/>
        <v>-1</v>
      </c>
      <c r="O72" s="14"/>
      <c r="P72" s="2">
        <f>SUM(OSRRefP22_6x_0)</f>
        <v>291.13</v>
      </c>
      <c r="Q72" s="2"/>
      <c r="R72" s="6">
        <f t="shared" si="16"/>
        <v>6.0402606975936156E-5</v>
      </c>
      <c r="S72" s="2"/>
      <c r="T72" s="2">
        <f>SUM(OSRRefT22_6x_0)</f>
        <v>825</v>
      </c>
      <c r="U72" s="2"/>
      <c r="V72" s="6">
        <f t="shared" si="17"/>
        <v>2.7836637739057669E-4</v>
      </c>
      <c r="W72" s="2"/>
      <c r="X72" s="2">
        <f t="shared" si="18"/>
        <v>-533.87</v>
      </c>
      <c r="Y72" s="2"/>
      <c r="Z72" s="6">
        <f t="shared" si="19"/>
        <v>-0.64711515151515153</v>
      </c>
    </row>
    <row r="73" spans="1:26" s="70" customFormat="1" ht="15" hidden="1" customHeight="1" outlineLevel="2" x14ac:dyDescent="0.25">
      <c r="A73" s="25"/>
      <c r="B73" s="12" t="str">
        <f>CONCATENATE("          ","6277"," - ","EMPLOYEE APPRECIATION")</f>
        <v xml:space="preserve">          6277 - EMPLOYEE APPRECIATION</v>
      </c>
      <c r="C73" s="12"/>
      <c r="D73" s="8"/>
      <c r="E73" s="3"/>
      <c r="F73" s="7">
        <f t="shared" si="12"/>
        <v>0</v>
      </c>
      <c r="G73" s="3"/>
      <c r="H73" s="8">
        <v>75</v>
      </c>
      <c r="I73" s="3"/>
      <c r="J73" s="7">
        <f t="shared" si="13"/>
        <v>2.8376522400426783E-4</v>
      </c>
      <c r="K73" s="3"/>
      <c r="L73" s="8">
        <f t="shared" si="14"/>
        <v>-75</v>
      </c>
      <c r="M73" s="3"/>
      <c r="N73" s="7">
        <f t="shared" si="15"/>
        <v>-1</v>
      </c>
      <c r="O73" s="12"/>
      <c r="P73" s="8">
        <v>291.13</v>
      </c>
      <c r="Q73" s="3"/>
      <c r="R73" s="7">
        <f t="shared" si="16"/>
        <v>6.0402606975936156E-5</v>
      </c>
      <c r="S73" s="3"/>
      <c r="T73" s="8">
        <v>825</v>
      </c>
      <c r="U73" s="3"/>
      <c r="V73" s="7">
        <f t="shared" si="17"/>
        <v>2.7836637739057669E-4</v>
      </c>
      <c r="W73" s="3"/>
      <c r="X73" s="8">
        <f t="shared" si="18"/>
        <v>-533.87</v>
      </c>
      <c r="Y73" s="3"/>
      <c r="Z73" s="7">
        <f t="shared" si="19"/>
        <v>-0.64711515151515153</v>
      </c>
    </row>
    <row r="74" spans="1:26" s="69" customFormat="1" ht="15" customHeight="1" outlineLevel="1" collapsed="1" x14ac:dyDescent="0.25">
      <c r="A74" s="26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2.467101980389712E-5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25">
      <c r="A75" s="25"/>
      <c r="B75" s="12" t="str">
        <f>CONCATENATE("          ","6351"," - ","EQUIPMENT RENTAL")</f>
        <v xml:space="preserve">          6351 - EQUIPMENT RENTAL</v>
      </c>
      <c r="C75" s="12"/>
      <c r="D75" s="8"/>
      <c r="E75" s="3"/>
      <c r="F75" s="7">
        <f t="shared" si="20"/>
        <v>0</v>
      </c>
      <c r="G75" s="3"/>
      <c r="H75" s="8"/>
      <c r="I75" s="3"/>
      <c r="J75" s="7">
        <f t="shared" si="21"/>
        <v>0</v>
      </c>
      <c r="K75" s="3"/>
      <c r="L75" s="8">
        <f t="shared" si="22"/>
        <v>0</v>
      </c>
      <c r="M75" s="3"/>
      <c r="N75" s="7">
        <f t="shared" si="23"/>
        <v>0</v>
      </c>
      <c r="O75" s="12"/>
      <c r="P75" s="8">
        <v>118.91</v>
      </c>
      <c r="Q75" s="3"/>
      <c r="R75" s="7">
        <f t="shared" si="24"/>
        <v>2.467101980389712E-5</v>
      </c>
      <c r="S75" s="3"/>
      <c r="T75" s="8"/>
      <c r="U75" s="3"/>
      <c r="V75" s="7">
        <f t="shared" si="25"/>
        <v>0</v>
      </c>
      <c r="W75" s="3"/>
      <c r="X75" s="8">
        <f t="shared" si="26"/>
        <v>118.91</v>
      </c>
      <c r="Y75" s="3"/>
      <c r="Z75" s="7">
        <f t="shared" si="27"/>
        <v>0</v>
      </c>
    </row>
    <row r="76" spans="1:26" s="69" customFormat="1" ht="15" customHeight="1" outlineLevel="1" collapsed="1" x14ac:dyDescent="0.25">
      <c r="A76" s="26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1.8917681600284523E-4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1.9280575219547181E-4</v>
      </c>
      <c r="S76" s="2"/>
      <c r="T76" s="2">
        <f>SUM(OSRRefT22_8x_0)</f>
        <v>550</v>
      </c>
      <c r="U76" s="2"/>
      <c r="V76" s="6">
        <f t="shared" si="25"/>
        <v>1.8557758492705113E-4</v>
      </c>
      <c r="W76" s="2"/>
      <c r="X76" s="2">
        <f t="shared" si="26"/>
        <v>379.28999999999996</v>
      </c>
      <c r="Y76" s="2"/>
      <c r="Z76" s="6">
        <f t="shared" si="27"/>
        <v>0.6896181818181818</v>
      </c>
    </row>
    <row r="77" spans="1:26" s="70" customFormat="1" ht="15" hidden="1" customHeight="1" outlineLevel="2" x14ac:dyDescent="0.25">
      <c r="A77" s="25"/>
      <c r="B77" s="12" t="str">
        <f>CONCATENATE("          ","6305"," - ","FREIGHT OUT")</f>
        <v xml:space="preserve">          6305 - FREIGHT OUT</v>
      </c>
      <c r="C77" s="12"/>
      <c r="D77" s="8"/>
      <c r="E77" s="3"/>
      <c r="F77" s="7">
        <f t="shared" si="20"/>
        <v>0</v>
      </c>
      <c r="G77" s="3"/>
      <c r="H77" s="8">
        <v>50</v>
      </c>
      <c r="I77" s="3"/>
      <c r="J77" s="7">
        <f t="shared" si="21"/>
        <v>1.8917681600284523E-4</v>
      </c>
      <c r="K77" s="3"/>
      <c r="L77" s="8">
        <f t="shared" si="22"/>
        <v>-50</v>
      </c>
      <c r="M77" s="3"/>
      <c r="N77" s="7">
        <f t="shared" si="23"/>
        <v>-1</v>
      </c>
      <c r="O77" s="12"/>
      <c r="P77" s="8">
        <v>893.87</v>
      </c>
      <c r="Q77" s="3"/>
      <c r="R77" s="7">
        <f t="shared" si="24"/>
        <v>1.8545693778580034E-4</v>
      </c>
      <c r="S77" s="3"/>
      <c r="T77" s="8">
        <v>550</v>
      </c>
      <c r="U77" s="3"/>
      <c r="V77" s="7">
        <f t="shared" si="25"/>
        <v>1.8557758492705113E-4</v>
      </c>
      <c r="W77" s="3"/>
      <c r="X77" s="8">
        <f t="shared" si="26"/>
        <v>343.87</v>
      </c>
      <c r="Y77" s="3"/>
      <c r="Z77" s="7">
        <f t="shared" si="27"/>
        <v>0.62521818181818178</v>
      </c>
    </row>
    <row r="78" spans="1:26" s="70" customFormat="1" ht="15" hidden="1" customHeight="1" outlineLevel="2" x14ac:dyDescent="0.25">
      <c r="A78" s="25"/>
      <c r="B78" s="12" t="str">
        <f>CONCATENATE("          ","6307"," - ","POSTAGE")</f>
        <v xml:space="preserve">          6307 - POSTAGE</v>
      </c>
      <c r="C78" s="12"/>
      <c r="D78" s="8"/>
      <c r="E78" s="3"/>
      <c r="F78" s="7">
        <f t="shared" si="20"/>
        <v>0</v>
      </c>
      <c r="G78" s="3"/>
      <c r="H78" s="8"/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2"/>
      <c r="P78" s="8">
        <v>35.42</v>
      </c>
      <c r="Q78" s="3"/>
      <c r="R78" s="7">
        <f t="shared" si="24"/>
        <v>7.3488144096714827E-6</v>
      </c>
      <c r="S78" s="3"/>
      <c r="T78" s="8"/>
      <c r="U78" s="3"/>
      <c r="V78" s="7">
        <f t="shared" si="25"/>
        <v>0</v>
      </c>
      <c r="W78" s="3"/>
      <c r="X78" s="8">
        <f t="shared" si="26"/>
        <v>35.42</v>
      </c>
      <c r="Y78" s="3"/>
      <c r="Z78" s="7">
        <f t="shared" si="27"/>
        <v>0</v>
      </c>
    </row>
    <row r="79" spans="1:26" s="69" customFormat="1" ht="15" customHeight="1" outlineLevel="1" collapsed="1" x14ac:dyDescent="0.25">
      <c r="A79" s="26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0</v>
      </c>
      <c r="E79" s="2"/>
      <c r="F79" s="6">
        <f t="shared" si="20"/>
        <v>0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0</v>
      </c>
      <c r="M79" s="2"/>
      <c r="N79" s="6">
        <f t="shared" si="23"/>
        <v>0</v>
      </c>
      <c r="O79" s="14"/>
      <c r="P79" s="2">
        <f>SUM(OSRRefP22_9x_0)</f>
        <v>2402.36</v>
      </c>
      <c r="Q79" s="2"/>
      <c r="R79" s="6">
        <f t="shared" si="24"/>
        <v>4.984330261213547E-4</v>
      </c>
      <c r="S79" s="2"/>
      <c r="T79" s="2">
        <f>SUM(OSRRefT22_9x_0)</f>
        <v>1250</v>
      </c>
      <c r="U79" s="2"/>
      <c r="V79" s="6">
        <f t="shared" si="25"/>
        <v>4.2176723847057079E-4</v>
      </c>
      <c r="W79" s="2"/>
      <c r="X79" s="2">
        <f t="shared" si="26"/>
        <v>1152.3600000000001</v>
      </c>
      <c r="Y79" s="2"/>
      <c r="Z79" s="6">
        <f t="shared" si="27"/>
        <v>0.92188800000000015</v>
      </c>
    </row>
    <row r="80" spans="1:26" s="70" customFormat="1" ht="15" hidden="1" customHeight="1" outlineLevel="2" x14ac:dyDescent="0.25">
      <c r="A80" s="25"/>
      <c r="B80" s="12" t="str">
        <f>CONCATENATE("          ","6276"," - ","PROPERTY TAX")</f>
        <v xml:space="preserve">          6276 - PROPERTY TAX</v>
      </c>
      <c r="C80" s="12"/>
      <c r="D80" s="8"/>
      <c r="E80" s="3"/>
      <c r="F80" s="7">
        <f t="shared" si="20"/>
        <v>0</v>
      </c>
      <c r="G80" s="3"/>
      <c r="H80" s="8"/>
      <c r="I80" s="3"/>
      <c r="J80" s="7">
        <f t="shared" si="21"/>
        <v>0</v>
      </c>
      <c r="K80" s="3"/>
      <c r="L80" s="8">
        <f t="shared" si="22"/>
        <v>0</v>
      </c>
      <c r="M80" s="3"/>
      <c r="N80" s="7">
        <f t="shared" si="23"/>
        <v>0</v>
      </c>
      <c r="O80" s="12"/>
      <c r="P80" s="8"/>
      <c r="Q80" s="3"/>
      <c r="R80" s="7">
        <f t="shared" si="24"/>
        <v>0</v>
      </c>
      <c r="S80" s="3"/>
      <c r="T80" s="8">
        <v>1250</v>
      </c>
      <c r="U80" s="3"/>
      <c r="V80" s="7">
        <f t="shared" si="25"/>
        <v>4.2176723847057079E-4</v>
      </c>
      <c r="W80" s="3"/>
      <c r="X80" s="8">
        <f t="shared" si="26"/>
        <v>-1250</v>
      </c>
      <c r="Y80" s="3"/>
      <c r="Z80" s="7">
        <f t="shared" si="27"/>
        <v>-1</v>
      </c>
    </row>
    <row r="81" spans="1:26" s="70" customFormat="1" ht="15" hidden="1" customHeight="1" outlineLevel="2" x14ac:dyDescent="0.25">
      <c r="A81" s="25"/>
      <c r="B81" s="12" t="str">
        <f>CONCATENATE("          ","6279"," - ","GENERAL EXPENSE")</f>
        <v xml:space="preserve">          6279 - GENERAL EXPENSE</v>
      </c>
      <c r="C81" s="12"/>
      <c r="D81" s="8"/>
      <c r="E81" s="3"/>
      <c r="F81" s="7">
        <f t="shared" si="20"/>
        <v>0</v>
      </c>
      <c r="G81" s="3"/>
      <c r="H81" s="8">
        <v>0</v>
      </c>
      <c r="I81" s="3"/>
      <c r="J81" s="7">
        <f t="shared" si="21"/>
        <v>0</v>
      </c>
      <c r="K81" s="3"/>
      <c r="L81" s="8">
        <f t="shared" si="22"/>
        <v>0</v>
      </c>
      <c r="M81" s="3"/>
      <c r="N81" s="7">
        <f t="shared" si="23"/>
        <v>0</v>
      </c>
      <c r="O81" s="12"/>
      <c r="P81" s="8">
        <v>2402.36</v>
      </c>
      <c r="Q81" s="3"/>
      <c r="R81" s="7">
        <f t="shared" si="24"/>
        <v>4.984330261213547E-4</v>
      </c>
      <c r="S81" s="3"/>
      <c r="T81" s="8">
        <v>0</v>
      </c>
      <c r="U81" s="3"/>
      <c r="V81" s="7">
        <f t="shared" si="25"/>
        <v>0</v>
      </c>
      <c r="W81" s="3"/>
      <c r="X81" s="8">
        <f t="shared" si="26"/>
        <v>2402.36</v>
      </c>
      <c r="Y81" s="3"/>
      <c r="Z81" s="7">
        <f t="shared" si="27"/>
        <v>0</v>
      </c>
    </row>
    <row r="82" spans="1:26" s="69" customFormat="1" ht="15" customHeight="1" outlineLevel="1" collapsed="1" x14ac:dyDescent="0.25">
      <c r="A82" s="26"/>
      <c r="B82" s="14" t="str">
        <f>CONCATENATE("     ","Insurance                                         ")</f>
        <v xml:space="preserve">     Insurance                                         </v>
      </c>
      <c r="C82" s="14"/>
      <c r="D82" s="2">
        <f>SUM(OSRRefD22_10x_0)</f>
        <v>219.08</v>
      </c>
      <c r="E82" s="2"/>
      <c r="F82" s="6">
        <f t="shared" si="20"/>
        <v>2.8012335912608679E-4</v>
      </c>
      <c r="G82" s="2"/>
      <c r="H82" s="2">
        <f>SUM(OSRRefH22_10x_0)</f>
        <v>175</v>
      </c>
      <c r="I82" s="2"/>
      <c r="J82" s="6">
        <f t="shared" si="21"/>
        <v>6.6211885600995829E-4</v>
      </c>
      <c r="K82" s="2"/>
      <c r="L82" s="2">
        <f t="shared" si="22"/>
        <v>44.080000000000013</v>
      </c>
      <c r="M82" s="2"/>
      <c r="N82" s="6">
        <f t="shared" si="23"/>
        <v>0.25188571428571438</v>
      </c>
      <c r="O82" s="14"/>
      <c r="P82" s="2">
        <f>SUM(OSRRefP22_10x_0)</f>
        <v>2409.88</v>
      </c>
      <c r="Q82" s="2"/>
      <c r="R82" s="6">
        <f t="shared" si="24"/>
        <v>4.9999324871764859E-4</v>
      </c>
      <c r="S82" s="2"/>
      <c r="T82" s="2">
        <f>SUM(OSRRefT22_10x_0)</f>
        <v>1925</v>
      </c>
      <c r="U82" s="2"/>
      <c r="V82" s="6">
        <f t="shared" si="25"/>
        <v>6.4952154724467895E-4</v>
      </c>
      <c r="W82" s="2"/>
      <c r="X82" s="2">
        <f t="shared" si="26"/>
        <v>484.88000000000011</v>
      </c>
      <c r="Y82" s="2"/>
      <c r="Z82" s="6">
        <f t="shared" si="27"/>
        <v>0.25188571428571432</v>
      </c>
    </row>
    <row r="83" spans="1:26" s="70" customFormat="1" ht="15" hidden="1" customHeight="1" outlineLevel="2" x14ac:dyDescent="0.25">
      <c r="A83" s="25"/>
      <c r="B83" s="12" t="str">
        <f>CONCATENATE("          ","6314"," - ","LIABILITY INSURANCE")</f>
        <v xml:space="preserve">          6314 - LIABILITY INSURANCE</v>
      </c>
      <c r="C83" s="12"/>
      <c r="D83" s="8">
        <v>219.08</v>
      </c>
      <c r="E83" s="3"/>
      <c r="F83" s="7">
        <f t="shared" si="20"/>
        <v>2.8012335912608679E-4</v>
      </c>
      <c r="G83" s="3"/>
      <c r="H83" s="8">
        <v>175</v>
      </c>
      <c r="I83" s="3"/>
      <c r="J83" s="7">
        <f t="shared" si="21"/>
        <v>6.6211885600995829E-4</v>
      </c>
      <c r="K83" s="3"/>
      <c r="L83" s="8">
        <f t="shared" si="22"/>
        <v>44.080000000000013</v>
      </c>
      <c r="M83" s="3"/>
      <c r="N83" s="7">
        <f t="shared" si="23"/>
        <v>0.25188571428571438</v>
      </c>
      <c r="O83" s="12"/>
      <c r="P83" s="8">
        <v>2409.88</v>
      </c>
      <c r="Q83" s="3"/>
      <c r="R83" s="7">
        <f t="shared" si="24"/>
        <v>4.9999324871764859E-4</v>
      </c>
      <c r="S83" s="3"/>
      <c r="T83" s="8">
        <v>1925</v>
      </c>
      <c r="U83" s="3"/>
      <c r="V83" s="7">
        <f t="shared" si="25"/>
        <v>6.4952154724467895E-4</v>
      </c>
      <c r="W83" s="3"/>
      <c r="X83" s="8">
        <f t="shared" si="26"/>
        <v>484.88000000000011</v>
      </c>
      <c r="Y83" s="3"/>
      <c r="Z83" s="7">
        <f t="shared" si="27"/>
        <v>0.25188571428571432</v>
      </c>
    </row>
    <row r="84" spans="1:26" s="69" customFormat="1" ht="15" customHeight="1" outlineLevel="1" collapsed="1" x14ac:dyDescent="0.25">
      <c r="A84" s="26"/>
      <c r="B84" s="14" t="str">
        <f>CONCATENATE("     ","Inventory Adjustment                              ")</f>
        <v xml:space="preserve">     Inventory Adjustment                              </v>
      </c>
      <c r="C84" s="14"/>
      <c r="D84" s="2">
        <f>SUM(OSRRefD22_11x_0)</f>
        <v>3450</v>
      </c>
      <c r="E84" s="2"/>
      <c r="F84" s="6">
        <f t="shared" si="20"/>
        <v>4.411290802378124E-3</v>
      </c>
      <c r="G84" s="2"/>
      <c r="H84" s="2">
        <f>SUM(OSRRefH22_11x_0)</f>
        <v>3450</v>
      </c>
      <c r="I84" s="2"/>
      <c r="J84" s="6">
        <f t="shared" si="21"/>
        <v>1.305320030419632E-2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SUM(OSRRefP22_11x_0)</f>
        <v>37950</v>
      </c>
      <c r="Q84" s="2"/>
      <c r="R84" s="6">
        <f t="shared" si="24"/>
        <v>7.8737297246480164E-3</v>
      </c>
      <c r="S84" s="2"/>
      <c r="T84" s="2">
        <f>SUM(OSRRefT22_11x_0)</f>
        <v>37950</v>
      </c>
      <c r="U84" s="2"/>
      <c r="V84" s="6">
        <f t="shared" si="25"/>
        <v>1.2804853359966529E-2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25">
      <c r="A85" s="25"/>
      <c r="B85" s="12" t="str">
        <f>CONCATENATE("          ","6408"," - ","INVENTORY ADJUSTMENT")</f>
        <v xml:space="preserve">          6408 - INVENTORY ADJUSTMENT</v>
      </c>
      <c r="C85" s="12"/>
      <c r="D85" s="8">
        <v>3450</v>
      </c>
      <c r="E85" s="3"/>
      <c r="F85" s="7">
        <f t="shared" si="20"/>
        <v>4.411290802378124E-3</v>
      </c>
      <c r="G85" s="3"/>
      <c r="H85" s="8">
        <v>3450</v>
      </c>
      <c r="I85" s="3"/>
      <c r="J85" s="7">
        <f t="shared" si="21"/>
        <v>1.305320030419632E-2</v>
      </c>
      <c r="K85" s="3"/>
      <c r="L85" s="8">
        <f t="shared" si="22"/>
        <v>0</v>
      </c>
      <c r="M85" s="3"/>
      <c r="N85" s="7">
        <f t="shared" si="23"/>
        <v>0</v>
      </c>
      <c r="O85" s="12"/>
      <c r="P85" s="8">
        <v>37950</v>
      </c>
      <c r="Q85" s="3"/>
      <c r="R85" s="7">
        <f t="shared" si="24"/>
        <v>7.8737297246480164E-3</v>
      </c>
      <c r="S85" s="3"/>
      <c r="T85" s="8">
        <v>37950</v>
      </c>
      <c r="U85" s="3"/>
      <c r="V85" s="7">
        <f t="shared" si="25"/>
        <v>1.2804853359966529E-2</v>
      </c>
      <c r="W85" s="3"/>
      <c r="X85" s="8">
        <f t="shared" si="26"/>
        <v>0</v>
      </c>
      <c r="Y85" s="3"/>
      <c r="Z85" s="7">
        <f t="shared" si="27"/>
        <v>0</v>
      </c>
    </row>
    <row r="86" spans="1:26" s="69" customFormat="1" ht="15" customHeight="1" outlineLevel="1" collapsed="1" x14ac:dyDescent="0.25">
      <c r="A86" s="26"/>
      <c r="B86" s="14" t="str">
        <f>CONCATENATE("     ","Professional Services                             ")</f>
        <v xml:space="preserve">     Professional Services                             </v>
      </c>
      <c r="C86" s="14"/>
      <c r="D86" s="2">
        <f>SUM(OSRRefD22_12x_0)</f>
        <v>0</v>
      </c>
      <c r="E86" s="2"/>
      <c r="F86" s="6">
        <f t="shared" si="20"/>
        <v>0</v>
      </c>
      <c r="G86" s="2"/>
      <c r="H86" s="2">
        <f>SUM(OSRRefH22_12x_0)</f>
        <v>0</v>
      </c>
      <c r="I86" s="2"/>
      <c r="J86" s="6">
        <f t="shared" si="21"/>
        <v>0</v>
      </c>
      <c r="K86" s="2"/>
      <c r="L86" s="2">
        <f t="shared" si="22"/>
        <v>0</v>
      </c>
      <c r="M86" s="2"/>
      <c r="N86" s="6">
        <f t="shared" si="23"/>
        <v>0</v>
      </c>
      <c r="O86" s="14"/>
      <c r="P86" s="2">
        <f>SUM(OSRRefP22_12x_0)</f>
        <v>2109.1</v>
      </c>
      <c r="Q86" s="2"/>
      <c r="R86" s="6">
        <f t="shared" si="24"/>
        <v>4.375884943940746E-4</v>
      </c>
      <c r="S86" s="2"/>
      <c r="T86" s="2">
        <f>SUM(OSRRefT22_12x_0)</f>
        <v>1750</v>
      </c>
      <c r="U86" s="2"/>
      <c r="V86" s="6">
        <f t="shared" si="25"/>
        <v>5.9047413385879906E-4</v>
      </c>
      <c r="W86" s="2"/>
      <c r="X86" s="2">
        <f t="shared" si="26"/>
        <v>359.09999999999991</v>
      </c>
      <c r="Y86" s="2"/>
      <c r="Z86" s="6">
        <f t="shared" si="27"/>
        <v>0.20519999999999994</v>
      </c>
    </row>
    <row r="87" spans="1:26" s="70" customFormat="1" ht="15" hidden="1" customHeight="1" outlineLevel="2" x14ac:dyDescent="0.25">
      <c r="A87" s="25"/>
      <c r="B87" s="12" t="str">
        <f>CONCATENATE("          ","6336"," - ","PROFESSIONAL SERVICES")</f>
        <v xml:space="preserve">          6336 - PROFESSIONAL SERVICES</v>
      </c>
      <c r="C87" s="12"/>
      <c r="D87" s="8"/>
      <c r="E87" s="3"/>
      <c r="F87" s="7">
        <f t="shared" si="20"/>
        <v>0</v>
      </c>
      <c r="G87" s="3"/>
      <c r="H87" s="8">
        <v>0</v>
      </c>
      <c r="I87" s="3"/>
      <c r="J87" s="7">
        <f t="shared" si="21"/>
        <v>0</v>
      </c>
      <c r="K87" s="3"/>
      <c r="L87" s="8">
        <f t="shared" si="22"/>
        <v>0</v>
      </c>
      <c r="M87" s="3"/>
      <c r="N87" s="7">
        <f t="shared" si="23"/>
        <v>0</v>
      </c>
      <c r="O87" s="12"/>
      <c r="P87" s="8">
        <v>2109.1</v>
      </c>
      <c r="Q87" s="3"/>
      <c r="R87" s="7">
        <f t="shared" si="24"/>
        <v>4.375884943940746E-4</v>
      </c>
      <c r="S87" s="3"/>
      <c r="T87" s="8">
        <v>1750</v>
      </c>
      <c r="U87" s="3"/>
      <c r="V87" s="7">
        <f t="shared" si="25"/>
        <v>5.9047413385879906E-4</v>
      </c>
      <c r="W87" s="3"/>
      <c r="X87" s="8">
        <f t="shared" si="26"/>
        <v>359.09999999999991</v>
      </c>
      <c r="Y87" s="3"/>
      <c r="Z87" s="7">
        <f t="shared" si="27"/>
        <v>0.20519999999999994</v>
      </c>
    </row>
    <row r="88" spans="1:26" s="69" customFormat="1" ht="15" customHeight="1" outlineLevel="1" collapsed="1" x14ac:dyDescent="0.25">
      <c r="A88" s="26"/>
      <c r="B88" s="14" t="str">
        <f>CONCATENATE("     ","Rent                                              ")</f>
        <v xml:space="preserve">     Rent                                              </v>
      </c>
      <c r="C88" s="14"/>
      <c r="D88" s="2">
        <f>SUM(OSRRefD22_13x_0)</f>
        <v>6900</v>
      </c>
      <c r="E88" s="2"/>
      <c r="F88" s="6">
        <f t="shared" si="20"/>
        <v>8.822581604756248E-3</v>
      </c>
      <c r="G88" s="2"/>
      <c r="H88" s="2">
        <f>SUM(OSRRefH22_13x_0)</f>
        <v>6900</v>
      </c>
      <c r="I88" s="2"/>
      <c r="J88" s="6">
        <f t="shared" si="21"/>
        <v>2.610640060839264E-2</v>
      </c>
      <c r="K88" s="2"/>
      <c r="L88" s="2">
        <f t="shared" si="22"/>
        <v>0</v>
      </c>
      <c r="M88" s="2"/>
      <c r="N88" s="6">
        <f t="shared" si="23"/>
        <v>0</v>
      </c>
      <c r="O88" s="14"/>
      <c r="P88" s="2">
        <f>SUM(OSRRefP22_13x_0)</f>
        <v>75900</v>
      </c>
      <c r="Q88" s="2"/>
      <c r="R88" s="6">
        <f t="shared" si="24"/>
        <v>1.5747459449296033E-2</v>
      </c>
      <c r="S88" s="2"/>
      <c r="T88" s="2">
        <f>SUM(OSRRefT22_13x_0)</f>
        <v>75900</v>
      </c>
      <c r="U88" s="2"/>
      <c r="V88" s="6">
        <f t="shared" si="25"/>
        <v>2.5609706719933057E-2</v>
      </c>
      <c r="W88" s="2"/>
      <c r="X88" s="2">
        <f t="shared" si="26"/>
        <v>0</v>
      </c>
      <c r="Y88" s="2"/>
      <c r="Z88" s="6">
        <f t="shared" si="27"/>
        <v>0</v>
      </c>
    </row>
    <row r="89" spans="1:26" s="70" customFormat="1" ht="15" hidden="1" customHeight="1" outlineLevel="2" x14ac:dyDescent="0.25">
      <c r="A89" s="25"/>
      <c r="B89" s="12" t="str">
        <f>CONCATENATE("          ","6273"," - ","RENT")</f>
        <v xml:space="preserve">          6273 - RENT</v>
      </c>
      <c r="C89" s="12"/>
      <c r="D89" s="8">
        <v>6900</v>
      </c>
      <c r="E89" s="3"/>
      <c r="F89" s="7">
        <f t="shared" si="20"/>
        <v>8.822581604756248E-3</v>
      </c>
      <c r="G89" s="3"/>
      <c r="H89" s="8">
        <v>6900</v>
      </c>
      <c r="I89" s="3"/>
      <c r="J89" s="7">
        <f t="shared" si="21"/>
        <v>2.610640060839264E-2</v>
      </c>
      <c r="K89" s="3"/>
      <c r="L89" s="8">
        <f t="shared" si="22"/>
        <v>0</v>
      </c>
      <c r="M89" s="3"/>
      <c r="N89" s="7">
        <f t="shared" si="23"/>
        <v>0</v>
      </c>
      <c r="O89" s="12"/>
      <c r="P89" s="8">
        <v>75900</v>
      </c>
      <c r="Q89" s="3"/>
      <c r="R89" s="7">
        <f t="shared" si="24"/>
        <v>1.5747459449296033E-2</v>
      </c>
      <c r="S89" s="3"/>
      <c r="T89" s="8">
        <v>75900</v>
      </c>
      <c r="U89" s="3"/>
      <c r="V89" s="7">
        <f t="shared" si="25"/>
        <v>2.5609706719933057E-2</v>
      </c>
      <c r="W89" s="3"/>
      <c r="X89" s="8">
        <f t="shared" si="26"/>
        <v>0</v>
      </c>
      <c r="Y89" s="3"/>
      <c r="Z89" s="7">
        <f t="shared" si="27"/>
        <v>0</v>
      </c>
    </row>
    <row r="90" spans="1:26" s="69" customFormat="1" ht="15" customHeight="1" outlineLevel="1" collapsed="1" x14ac:dyDescent="0.25">
      <c r="A90" s="26"/>
      <c r="B90" s="14" t="str">
        <f>CONCATENATE("     ","Repair and Maintenance                            ")</f>
        <v xml:space="preserve">     Repair and Maintenance                            </v>
      </c>
      <c r="C90" s="14"/>
      <c r="D90" s="2">
        <f>SUM(OSRRefD22_14x_0)</f>
        <v>0</v>
      </c>
      <c r="E90" s="2"/>
      <c r="F90" s="6">
        <f t="shared" si="20"/>
        <v>0</v>
      </c>
      <c r="G90" s="2"/>
      <c r="H90" s="2">
        <f>SUM(OSRRefH22_14x_0)</f>
        <v>115</v>
      </c>
      <c r="I90" s="2"/>
      <c r="J90" s="6">
        <f t="shared" si="21"/>
        <v>4.3510667680654401E-4</v>
      </c>
      <c r="K90" s="2"/>
      <c r="L90" s="2">
        <f t="shared" si="22"/>
        <v>-115</v>
      </c>
      <c r="M90" s="2"/>
      <c r="N90" s="6">
        <f t="shared" si="23"/>
        <v>-1</v>
      </c>
      <c r="O90" s="14"/>
      <c r="P90" s="2">
        <f>SUM(OSRRefP22_14x_0)</f>
        <v>5378.62</v>
      </c>
      <c r="Q90" s="2"/>
      <c r="R90" s="6">
        <f t="shared" si="24"/>
        <v>1.1159367634146593E-3</v>
      </c>
      <c r="S90" s="2"/>
      <c r="T90" s="2">
        <f>SUM(OSRRefT22_14x_0)</f>
        <v>1765</v>
      </c>
      <c r="U90" s="2"/>
      <c r="V90" s="6">
        <f t="shared" si="25"/>
        <v>5.955353407204459E-4</v>
      </c>
      <c r="W90" s="2"/>
      <c r="X90" s="2">
        <f t="shared" si="26"/>
        <v>3613.62</v>
      </c>
      <c r="Y90" s="2"/>
      <c r="Z90" s="6">
        <f t="shared" si="27"/>
        <v>2.0473767705382437</v>
      </c>
    </row>
    <row r="91" spans="1:26" s="70" customFormat="1" ht="15" hidden="1" customHeight="1" outlineLevel="2" x14ac:dyDescent="0.25">
      <c r="A91" s="25"/>
      <c r="B91" s="12" t="str">
        <f>CONCATENATE("          ","6373"," - ","MAINTENANCE CONTRACTS")</f>
        <v xml:space="preserve">          6373 - MAINTENANCE CONTRACTS</v>
      </c>
      <c r="C91" s="12"/>
      <c r="D91" s="8"/>
      <c r="E91" s="3"/>
      <c r="F91" s="7">
        <f t="shared" si="20"/>
        <v>0</v>
      </c>
      <c r="G91" s="3"/>
      <c r="H91" s="8">
        <v>115</v>
      </c>
      <c r="I91" s="3"/>
      <c r="J91" s="7">
        <f t="shared" si="21"/>
        <v>4.3510667680654401E-4</v>
      </c>
      <c r="K91" s="3"/>
      <c r="L91" s="8">
        <f t="shared" si="22"/>
        <v>-115</v>
      </c>
      <c r="M91" s="3"/>
      <c r="N91" s="7">
        <f t="shared" si="23"/>
        <v>-1</v>
      </c>
      <c r="O91" s="12"/>
      <c r="P91" s="8">
        <v>714.5</v>
      </c>
      <c r="Q91" s="3"/>
      <c r="R91" s="7">
        <f t="shared" si="24"/>
        <v>1.4824189428882761E-4</v>
      </c>
      <c r="S91" s="3"/>
      <c r="T91" s="8">
        <v>1265</v>
      </c>
      <c r="U91" s="3"/>
      <c r="V91" s="7">
        <f t="shared" si="25"/>
        <v>4.2682844533221764E-4</v>
      </c>
      <c r="W91" s="3"/>
      <c r="X91" s="8">
        <f t="shared" si="26"/>
        <v>-550.5</v>
      </c>
      <c r="Y91" s="3"/>
      <c r="Z91" s="7">
        <f t="shared" si="27"/>
        <v>-0.43517786561264821</v>
      </c>
    </row>
    <row r="92" spans="1:26" s="70" customFormat="1" ht="15" hidden="1" customHeight="1" outlineLevel="2" x14ac:dyDescent="0.25">
      <c r="A92" s="25"/>
      <c r="B92" s="12" t="str">
        <f>CONCATENATE("          ","6375"," - ","OUTSIDE REPAIRS &amp; MAINTENANCE")</f>
        <v xml:space="preserve">          6375 - OUTSIDE REPAIRS &amp; MAINTENANCE</v>
      </c>
      <c r="C92" s="12"/>
      <c r="D92" s="8"/>
      <c r="E92" s="3"/>
      <c r="F92" s="7">
        <f t="shared" si="20"/>
        <v>0</v>
      </c>
      <c r="G92" s="3"/>
      <c r="H92" s="8">
        <v>0</v>
      </c>
      <c r="I92" s="3"/>
      <c r="J92" s="7">
        <f t="shared" si="21"/>
        <v>0</v>
      </c>
      <c r="K92" s="3"/>
      <c r="L92" s="8">
        <f t="shared" si="22"/>
        <v>0</v>
      </c>
      <c r="M92" s="3"/>
      <c r="N92" s="7">
        <f t="shared" si="23"/>
        <v>0</v>
      </c>
      <c r="O92" s="12"/>
      <c r="P92" s="8">
        <v>4664.12</v>
      </c>
      <c r="Q92" s="3"/>
      <c r="R92" s="7">
        <f t="shared" si="24"/>
        <v>9.6769486912583159E-4</v>
      </c>
      <c r="S92" s="3"/>
      <c r="T92" s="8">
        <v>500</v>
      </c>
      <c r="U92" s="3"/>
      <c r="V92" s="7">
        <f t="shared" si="25"/>
        <v>1.6870689538822832E-4</v>
      </c>
      <c r="W92" s="3"/>
      <c r="X92" s="8">
        <f t="shared" si="26"/>
        <v>4164.12</v>
      </c>
      <c r="Y92" s="3"/>
      <c r="Z92" s="7">
        <f t="shared" si="27"/>
        <v>8.3282399999999992</v>
      </c>
    </row>
    <row r="93" spans="1:26" s="69" customFormat="1" ht="15" customHeight="1" outlineLevel="1" collapsed="1" x14ac:dyDescent="0.25">
      <c r="A93" s="26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2">
        <f>SUM(OSRRefD22_15x_0)</f>
        <v>2584.1300000000006</v>
      </c>
      <c r="E93" s="2"/>
      <c r="F93" s="6">
        <f t="shared" si="20"/>
        <v>3.3041591017824298E-3</v>
      </c>
      <c r="G93" s="2"/>
      <c r="H93" s="2">
        <f>SUM(OSRRefH22_15x_0)</f>
        <v>3156</v>
      </c>
      <c r="I93" s="2"/>
      <c r="J93" s="6">
        <f t="shared" si="21"/>
        <v>1.194084062609959E-2</v>
      </c>
      <c r="K93" s="2"/>
      <c r="L93" s="2">
        <f t="shared" si="22"/>
        <v>-571.86999999999944</v>
      </c>
      <c r="M93" s="2"/>
      <c r="N93" s="6">
        <f t="shared" si="23"/>
        <v>-0.18120088719898589</v>
      </c>
      <c r="O93" s="14"/>
      <c r="P93" s="2">
        <f>SUM(OSRRefP22_15x_0)</f>
        <v>72156.009999999995</v>
      </c>
      <c r="Q93" s="2"/>
      <c r="R93" s="6">
        <f t="shared" si="24"/>
        <v>1.4970669848458485E-2</v>
      </c>
      <c r="S93" s="2"/>
      <c r="T93" s="2">
        <f>SUM(OSRRefT22_15x_0)</f>
        <v>58688</v>
      </c>
      <c r="U93" s="2"/>
      <c r="V93" s="6">
        <f t="shared" si="25"/>
        <v>1.9802140553088685E-2</v>
      </c>
      <c r="W93" s="2"/>
      <c r="X93" s="2">
        <f t="shared" si="26"/>
        <v>13468.009999999995</v>
      </c>
      <c r="Y93" s="2"/>
      <c r="Z93" s="6">
        <f t="shared" si="27"/>
        <v>0.2294849032170119</v>
      </c>
    </row>
    <row r="94" spans="1:26" s="70" customFormat="1" ht="15" hidden="1" customHeight="1" outlineLevel="2" x14ac:dyDescent="0.25">
      <c r="A94" s="25"/>
      <c r="B94" s="12" t="str">
        <f>CONCATENATE("          ","6252"," - ","ROYALTY DUE CSTV")</f>
        <v xml:space="preserve">          6252 - ROYALTY DUE CSTV</v>
      </c>
      <c r="C94" s="12"/>
      <c r="D94" s="8"/>
      <c r="E94" s="3"/>
      <c r="F94" s="7">
        <f t="shared" si="20"/>
        <v>0</v>
      </c>
      <c r="G94" s="3"/>
      <c r="H94" s="8">
        <v>2156</v>
      </c>
      <c r="I94" s="3"/>
      <c r="J94" s="7">
        <f t="shared" si="21"/>
        <v>8.1573043060426866E-3</v>
      </c>
      <c r="K94" s="3"/>
      <c r="L94" s="8">
        <f t="shared" si="22"/>
        <v>-2156</v>
      </c>
      <c r="M94" s="3"/>
      <c r="N94" s="7">
        <f t="shared" si="23"/>
        <v>-1</v>
      </c>
      <c r="O94" s="12"/>
      <c r="P94" s="8"/>
      <c r="Q94" s="3"/>
      <c r="R94" s="7">
        <f t="shared" si="24"/>
        <v>0</v>
      </c>
      <c r="S94" s="3"/>
      <c r="T94" s="8">
        <v>15686</v>
      </c>
      <c r="U94" s="3"/>
      <c r="V94" s="7">
        <f t="shared" si="25"/>
        <v>5.2926727221194987E-3</v>
      </c>
      <c r="W94" s="3"/>
      <c r="X94" s="8">
        <f t="shared" si="26"/>
        <v>-15686</v>
      </c>
      <c r="Y94" s="3"/>
      <c r="Z94" s="7">
        <f t="shared" si="27"/>
        <v>-1</v>
      </c>
    </row>
    <row r="95" spans="1:26" s="70" customFormat="1" ht="15" hidden="1" customHeight="1" outlineLevel="2" x14ac:dyDescent="0.25">
      <c r="A95" s="25"/>
      <c r="B95" s="12" t="str">
        <f>CONCATENATE("          ","6253"," - ","ROYALTY DUE ATHLETICS-LRG")</f>
        <v xml:space="preserve">          6253 - ROYALTY DUE ATHLETICS-LRG</v>
      </c>
      <c r="C95" s="12"/>
      <c r="D95" s="8">
        <v>-3708.97</v>
      </c>
      <c r="E95" s="3"/>
      <c r="F95" s="7">
        <f t="shared" si="20"/>
        <v>-4.7424189122598224E-3</v>
      </c>
      <c r="G95" s="3"/>
      <c r="H95" s="8">
        <v>0</v>
      </c>
      <c r="I95" s="3"/>
      <c r="J95" s="7">
        <f t="shared" si="21"/>
        <v>0</v>
      </c>
      <c r="K95" s="3"/>
      <c r="L95" s="8">
        <f t="shared" si="22"/>
        <v>-3708.97</v>
      </c>
      <c r="M95" s="3"/>
      <c r="N95" s="7">
        <f t="shared" si="23"/>
        <v>0</v>
      </c>
      <c r="O95" s="12"/>
      <c r="P95" s="8">
        <v>51456.52</v>
      </c>
      <c r="Q95" s="3"/>
      <c r="R95" s="7">
        <f t="shared" si="24"/>
        <v>1.0676013993437291E-2</v>
      </c>
      <c r="S95" s="3"/>
      <c r="T95" s="8">
        <v>38502</v>
      </c>
      <c r="U95" s="3"/>
      <c r="V95" s="7">
        <f t="shared" si="25"/>
        <v>1.2991105772475132E-2</v>
      </c>
      <c r="W95" s="3"/>
      <c r="X95" s="8">
        <f t="shared" si="26"/>
        <v>12954.519999999997</v>
      </c>
      <c r="Y95" s="3"/>
      <c r="Z95" s="7">
        <f t="shared" si="27"/>
        <v>0.33646356033452801</v>
      </c>
    </row>
    <row r="96" spans="1:26" s="70" customFormat="1" ht="15" hidden="1" customHeight="1" outlineLevel="2" x14ac:dyDescent="0.25">
      <c r="A96" s="25"/>
      <c r="B96" s="12" t="str">
        <f>CONCATENATE("          ","6254"," - ","ROYALTY &amp; COMMISSIONS")</f>
        <v xml:space="preserve">          6254 - ROYALTY &amp; COMMISSIONS</v>
      </c>
      <c r="C96" s="12"/>
      <c r="D96" s="8">
        <v>6293.1</v>
      </c>
      <c r="E96" s="3"/>
      <c r="F96" s="7">
        <f t="shared" si="20"/>
        <v>8.0465780140422521E-3</v>
      </c>
      <c r="G96" s="3"/>
      <c r="H96" s="8">
        <v>1000</v>
      </c>
      <c r="I96" s="3"/>
      <c r="J96" s="7">
        <f t="shared" si="21"/>
        <v>3.7835363200569043E-3</v>
      </c>
      <c r="K96" s="3"/>
      <c r="L96" s="8">
        <f t="shared" si="22"/>
        <v>5293.1</v>
      </c>
      <c r="M96" s="3"/>
      <c r="N96" s="7">
        <f t="shared" si="23"/>
        <v>5.2931000000000008</v>
      </c>
      <c r="O96" s="12"/>
      <c r="P96" s="8">
        <v>20699.490000000002</v>
      </c>
      <c r="Q96" s="3"/>
      <c r="R96" s="7">
        <f t="shared" si="24"/>
        <v>4.2946558550211959E-3</v>
      </c>
      <c r="S96" s="3"/>
      <c r="T96" s="8">
        <v>4500</v>
      </c>
      <c r="U96" s="3"/>
      <c r="V96" s="7">
        <f t="shared" si="25"/>
        <v>1.5183620584940547E-3</v>
      </c>
      <c r="W96" s="3"/>
      <c r="X96" s="8">
        <f t="shared" si="26"/>
        <v>16199.490000000002</v>
      </c>
      <c r="Y96" s="3"/>
      <c r="Z96" s="7">
        <f t="shared" si="27"/>
        <v>3.5998866666666669</v>
      </c>
    </row>
    <row r="97" spans="1:26" s="69" customFormat="1" ht="15" customHeight="1" outlineLevel="1" collapsed="1" x14ac:dyDescent="0.25">
      <c r="A97" s="26"/>
      <c r="B97" s="14" t="str">
        <f>CONCATENATE("     ","Services                                          ")</f>
        <v xml:space="preserve">     Services                                          </v>
      </c>
      <c r="C97" s="14"/>
      <c r="D97" s="2">
        <f>SUM(OSRRefD22_16x_0)</f>
        <v>223.45</v>
      </c>
      <c r="E97" s="2"/>
      <c r="F97" s="6">
        <f t="shared" si="20"/>
        <v>2.8571099414243238E-4</v>
      </c>
      <c r="G97" s="2"/>
      <c r="H97" s="2">
        <f>SUM(OSRRefH22_16x_0)</f>
        <v>60</v>
      </c>
      <c r="I97" s="2"/>
      <c r="J97" s="6">
        <f t="shared" si="21"/>
        <v>2.2701217920341428E-4</v>
      </c>
      <c r="K97" s="2"/>
      <c r="L97" s="2">
        <f t="shared" si="22"/>
        <v>163.44999999999999</v>
      </c>
      <c r="M97" s="2"/>
      <c r="N97" s="6">
        <f t="shared" si="23"/>
        <v>2.7241666666666666</v>
      </c>
      <c r="O97" s="14"/>
      <c r="P97" s="2">
        <f>SUM(OSRRefP22_16x_0)</f>
        <v>1876.0099999999998</v>
      </c>
      <c r="Q97" s="2"/>
      <c r="R97" s="6">
        <f t="shared" si="24"/>
        <v>3.8922781820123649E-4</v>
      </c>
      <c r="S97" s="2"/>
      <c r="T97" s="2">
        <f>SUM(OSRRefT22_16x_0)</f>
        <v>840</v>
      </c>
      <c r="U97" s="2"/>
      <c r="V97" s="6">
        <f t="shared" si="25"/>
        <v>2.8342758425222358E-4</v>
      </c>
      <c r="W97" s="2"/>
      <c r="X97" s="2">
        <f t="shared" si="26"/>
        <v>1036.0099999999998</v>
      </c>
      <c r="Y97" s="2"/>
      <c r="Z97" s="6">
        <f t="shared" si="27"/>
        <v>1.2333452380952379</v>
      </c>
    </row>
    <row r="98" spans="1:26" s="70" customFormat="1" ht="15" hidden="1" customHeight="1" outlineLevel="2" x14ac:dyDescent="0.25">
      <c r="A98" s="25"/>
      <c r="B98" s="12" t="str">
        <f>CONCATENATE("          ","6284"," - ","TRASH REMOVAL EXPENSE")</f>
        <v xml:space="preserve">          6284 - TRASH REMOVAL EXPENSE</v>
      </c>
      <c r="C98" s="12"/>
      <c r="D98" s="8">
        <v>149.69999999999999</v>
      </c>
      <c r="E98" s="3"/>
      <c r="F98" s="7">
        <f t="shared" si="20"/>
        <v>1.9141166177275509E-4</v>
      </c>
      <c r="G98" s="3"/>
      <c r="H98" s="8">
        <v>60</v>
      </c>
      <c r="I98" s="3"/>
      <c r="J98" s="7">
        <f t="shared" si="21"/>
        <v>2.2701217920341428E-4</v>
      </c>
      <c r="K98" s="3"/>
      <c r="L98" s="8">
        <f t="shared" si="22"/>
        <v>89.699999999999989</v>
      </c>
      <c r="M98" s="3"/>
      <c r="N98" s="7">
        <f t="shared" si="23"/>
        <v>1.4949999999999999</v>
      </c>
      <c r="O98" s="12"/>
      <c r="P98" s="8">
        <v>1489.87</v>
      </c>
      <c r="Q98" s="3"/>
      <c r="R98" s="7">
        <f t="shared" si="24"/>
        <v>3.0911287759845431E-4</v>
      </c>
      <c r="S98" s="3"/>
      <c r="T98" s="8">
        <v>840</v>
      </c>
      <c r="U98" s="3"/>
      <c r="V98" s="7">
        <f t="shared" si="25"/>
        <v>2.8342758425222358E-4</v>
      </c>
      <c r="W98" s="3"/>
      <c r="X98" s="8">
        <f t="shared" si="26"/>
        <v>649.86999999999989</v>
      </c>
      <c r="Y98" s="3"/>
      <c r="Z98" s="7">
        <f t="shared" si="27"/>
        <v>0.77365476190476179</v>
      </c>
    </row>
    <row r="99" spans="1:26" s="70" customFormat="1" ht="15" hidden="1" customHeight="1" outlineLevel="2" x14ac:dyDescent="0.25">
      <c r="A99" s="25"/>
      <c r="B99" s="12" t="str">
        <f>CONCATENATE("          ","6285"," - ","JANITORIAL SERVICES")</f>
        <v xml:space="preserve">          6285 - JANITORIAL SERVICES</v>
      </c>
      <c r="C99" s="12"/>
      <c r="D99" s="8">
        <v>73.75</v>
      </c>
      <c r="E99" s="3"/>
      <c r="F99" s="7">
        <f t="shared" si="20"/>
        <v>9.4299332369677285E-5</v>
      </c>
      <c r="G99" s="3"/>
      <c r="H99" s="8"/>
      <c r="I99" s="3"/>
      <c r="J99" s="7">
        <f t="shared" si="21"/>
        <v>0</v>
      </c>
      <c r="K99" s="3"/>
      <c r="L99" s="8">
        <f t="shared" si="22"/>
        <v>73.75</v>
      </c>
      <c r="M99" s="3"/>
      <c r="N99" s="7">
        <f t="shared" si="23"/>
        <v>0</v>
      </c>
      <c r="O99" s="12"/>
      <c r="P99" s="8">
        <v>386.14</v>
      </c>
      <c r="Q99" s="3"/>
      <c r="R99" s="7">
        <f t="shared" si="24"/>
        <v>8.0114940602782212E-5</v>
      </c>
      <c r="S99" s="3"/>
      <c r="T99" s="8"/>
      <c r="U99" s="3"/>
      <c r="V99" s="7">
        <f t="shared" si="25"/>
        <v>0</v>
      </c>
      <c r="W99" s="3"/>
      <c r="X99" s="8">
        <f t="shared" si="26"/>
        <v>386.14</v>
      </c>
      <c r="Y99" s="3"/>
      <c r="Z99" s="7">
        <f t="shared" si="27"/>
        <v>0</v>
      </c>
    </row>
    <row r="100" spans="1:26" s="69" customFormat="1" ht="15" customHeight="1" outlineLevel="1" collapsed="1" x14ac:dyDescent="0.25">
      <c r="A100" s="26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SUM(OSRRefD22_17x_0)</f>
        <v>0</v>
      </c>
      <c r="E100" s="2"/>
      <c r="F100" s="6">
        <f t="shared" si="20"/>
        <v>0</v>
      </c>
      <c r="G100" s="2"/>
      <c r="H100" s="2">
        <f>SUM(OSRRefH22_17x_0)</f>
        <v>181</v>
      </c>
      <c r="I100" s="2"/>
      <c r="J100" s="6">
        <f t="shared" si="21"/>
        <v>6.8482007393029965E-4</v>
      </c>
      <c r="K100" s="2"/>
      <c r="L100" s="2">
        <f t="shared" si="22"/>
        <v>-181</v>
      </c>
      <c r="M100" s="2"/>
      <c r="N100" s="6">
        <f t="shared" si="23"/>
        <v>-1</v>
      </c>
      <c r="O100" s="14"/>
      <c r="P100" s="2">
        <f>SUM(OSRRefP22_17x_0)</f>
        <v>125</v>
      </c>
      <c r="Q100" s="2"/>
      <c r="R100" s="6">
        <f t="shared" si="24"/>
        <v>2.5934551135204273E-5</v>
      </c>
      <c r="S100" s="2"/>
      <c r="T100" s="2">
        <f>SUM(OSRRefT22_17x_0)</f>
        <v>2686</v>
      </c>
      <c r="U100" s="2"/>
      <c r="V100" s="6">
        <f t="shared" si="25"/>
        <v>9.0629344202556249E-4</v>
      </c>
      <c r="W100" s="2"/>
      <c r="X100" s="2">
        <f t="shared" si="26"/>
        <v>-2561</v>
      </c>
      <c r="Y100" s="2"/>
      <c r="Z100" s="6">
        <f t="shared" si="27"/>
        <v>-0.9534623976172748</v>
      </c>
    </row>
    <row r="101" spans="1:26" s="70" customFormat="1" ht="15" hidden="1" customHeight="1" outlineLevel="2" x14ac:dyDescent="0.25">
      <c r="A101" s="25"/>
      <c r="B101" s="12" t="str">
        <f>CONCATENATE("          ","6258"," - ","MEMBERSHIP DUES")</f>
        <v xml:space="preserve">          6258 - MEMBERSHIP DUES</v>
      </c>
      <c r="C101" s="12"/>
      <c r="D101" s="8"/>
      <c r="E101" s="3"/>
      <c r="F101" s="7">
        <f t="shared" si="20"/>
        <v>0</v>
      </c>
      <c r="G101" s="3"/>
      <c r="H101" s="8">
        <v>0</v>
      </c>
      <c r="I101" s="3"/>
      <c r="J101" s="7">
        <f t="shared" si="21"/>
        <v>0</v>
      </c>
      <c r="K101" s="3"/>
      <c r="L101" s="8">
        <f t="shared" si="22"/>
        <v>0</v>
      </c>
      <c r="M101" s="3"/>
      <c r="N101" s="7">
        <f t="shared" si="23"/>
        <v>0</v>
      </c>
      <c r="O101" s="12"/>
      <c r="P101" s="8">
        <v>125</v>
      </c>
      <c r="Q101" s="3"/>
      <c r="R101" s="7">
        <f t="shared" si="24"/>
        <v>2.5934551135204273E-5</v>
      </c>
      <c r="S101" s="3"/>
      <c r="T101" s="8">
        <v>1395</v>
      </c>
      <c r="U101" s="3"/>
      <c r="V101" s="7">
        <f t="shared" si="25"/>
        <v>4.70692238133157E-4</v>
      </c>
      <c r="W101" s="3"/>
      <c r="X101" s="8">
        <f t="shared" si="26"/>
        <v>-1270</v>
      </c>
      <c r="Y101" s="3"/>
      <c r="Z101" s="7">
        <f t="shared" si="27"/>
        <v>-0.91039426523297495</v>
      </c>
    </row>
    <row r="102" spans="1:26" s="70" customFormat="1" ht="15" hidden="1" customHeight="1" outlineLevel="2" x14ac:dyDescent="0.25">
      <c r="A102" s="25"/>
      <c r="B102" s="12" t="str">
        <f>CONCATENATE("          ","6275"," - ","SUBSCRIPTIONS")</f>
        <v xml:space="preserve">          6275 - SUBSCRIPTIONS</v>
      </c>
      <c r="C102" s="12"/>
      <c r="D102" s="8"/>
      <c r="E102" s="3"/>
      <c r="F102" s="7">
        <f t="shared" si="20"/>
        <v>0</v>
      </c>
      <c r="G102" s="3"/>
      <c r="H102" s="8">
        <v>181</v>
      </c>
      <c r="I102" s="3"/>
      <c r="J102" s="7">
        <f t="shared" si="21"/>
        <v>6.8482007393029965E-4</v>
      </c>
      <c r="K102" s="3"/>
      <c r="L102" s="8">
        <f t="shared" si="22"/>
        <v>-181</v>
      </c>
      <c r="M102" s="3"/>
      <c r="N102" s="7">
        <f t="shared" si="23"/>
        <v>-1</v>
      </c>
      <c r="O102" s="12"/>
      <c r="P102" s="8"/>
      <c r="Q102" s="3"/>
      <c r="R102" s="7">
        <f t="shared" si="24"/>
        <v>0</v>
      </c>
      <c r="S102" s="3"/>
      <c r="T102" s="8">
        <v>1291</v>
      </c>
      <c r="U102" s="3"/>
      <c r="V102" s="7">
        <f t="shared" si="25"/>
        <v>4.3560120389240549E-4</v>
      </c>
      <c r="W102" s="3"/>
      <c r="X102" s="8">
        <f t="shared" si="26"/>
        <v>-1291</v>
      </c>
      <c r="Y102" s="3"/>
      <c r="Z102" s="7">
        <f t="shared" si="27"/>
        <v>-1</v>
      </c>
    </row>
    <row r="103" spans="1:26" s="69" customFormat="1" ht="15" customHeight="1" outlineLevel="1" collapsed="1" x14ac:dyDescent="0.25">
      <c r="A103" s="26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SUM(OSRRefD22_18x_0)</f>
        <v>3180.89</v>
      </c>
      <c r="E103" s="2"/>
      <c r="F103" s="6">
        <f t="shared" si="20"/>
        <v>4.0671973334424783E-3</v>
      </c>
      <c r="G103" s="2"/>
      <c r="H103" s="2">
        <f>SUM(OSRRefH22_18x_0)</f>
        <v>145</v>
      </c>
      <c r="I103" s="2"/>
      <c r="J103" s="6">
        <f t="shared" si="21"/>
        <v>5.4861276640825118E-4</v>
      </c>
      <c r="K103" s="2"/>
      <c r="L103" s="2">
        <f t="shared" si="22"/>
        <v>3035.89</v>
      </c>
      <c r="M103" s="2"/>
      <c r="N103" s="6">
        <f t="shared" si="23"/>
        <v>20.937172413793103</v>
      </c>
      <c r="O103" s="14"/>
      <c r="P103" s="2">
        <f>SUM(OSRRefP22_18x_0)</f>
        <v>13327.65</v>
      </c>
      <c r="Q103" s="2"/>
      <c r="R103" s="6">
        <f t="shared" si="24"/>
        <v>2.7651729634968415E-3</v>
      </c>
      <c r="S103" s="2"/>
      <c r="T103" s="2">
        <f>SUM(OSRRefT22_18x_0)</f>
        <v>1275</v>
      </c>
      <c r="U103" s="2"/>
      <c r="V103" s="6">
        <f t="shared" si="25"/>
        <v>4.3020258323998216E-4</v>
      </c>
      <c r="W103" s="2"/>
      <c r="X103" s="2">
        <f t="shared" si="26"/>
        <v>12052.65</v>
      </c>
      <c r="Y103" s="2"/>
      <c r="Z103" s="6">
        <f t="shared" si="27"/>
        <v>9.4530588235294122</v>
      </c>
    </row>
    <row r="104" spans="1:26" s="70" customFormat="1" ht="15" hidden="1" customHeight="1" outlineLevel="2" x14ac:dyDescent="0.25">
      <c r="A104" s="25"/>
      <c r="B104" s="12" t="str">
        <f>CONCATENATE("          ","6235"," - ","COVID-19 EXPENSES")</f>
        <v xml:space="preserve">          6235 - COVID-19 EXPENSES</v>
      </c>
      <c r="C104" s="12"/>
      <c r="D104" s="8"/>
      <c r="E104" s="3"/>
      <c r="F104" s="7">
        <f t="shared" si="20"/>
        <v>0</v>
      </c>
      <c r="G104" s="3"/>
      <c r="H104" s="8">
        <v>0</v>
      </c>
      <c r="I104" s="3"/>
      <c r="J104" s="7">
        <f t="shared" si="21"/>
        <v>0</v>
      </c>
      <c r="K104" s="3"/>
      <c r="L104" s="8">
        <f t="shared" si="22"/>
        <v>0</v>
      </c>
      <c r="M104" s="3"/>
      <c r="N104" s="7">
        <f t="shared" si="23"/>
        <v>0</v>
      </c>
      <c r="O104" s="12"/>
      <c r="P104" s="8"/>
      <c r="Q104" s="3"/>
      <c r="R104" s="7">
        <f t="shared" si="24"/>
        <v>0</v>
      </c>
      <c r="S104" s="3"/>
      <c r="T104" s="8">
        <v>0</v>
      </c>
      <c r="U104" s="3"/>
      <c r="V104" s="7">
        <f t="shared" si="25"/>
        <v>0</v>
      </c>
      <c r="W104" s="3"/>
      <c r="X104" s="8">
        <f t="shared" si="26"/>
        <v>0</v>
      </c>
      <c r="Y104" s="3"/>
      <c r="Z104" s="7">
        <f t="shared" si="27"/>
        <v>0</v>
      </c>
    </row>
    <row r="105" spans="1:26" s="70" customFormat="1" ht="15" hidden="1" customHeight="1" outlineLevel="2" x14ac:dyDescent="0.25">
      <c r="A105" s="25"/>
      <c r="B105" s="12" t="str">
        <f>CONCATENATE("          ","6237"," - ","JANITORIAL SUPPLIES")</f>
        <v xml:space="preserve">          6237 - JANITORIAL SUPPLIES</v>
      </c>
      <c r="C105" s="12"/>
      <c r="D105" s="8">
        <v>82.78</v>
      </c>
      <c r="E105" s="3"/>
      <c r="F105" s="7">
        <f t="shared" si="20"/>
        <v>1.0584540655677132E-4</v>
      </c>
      <c r="G105" s="3"/>
      <c r="H105" s="8">
        <v>50</v>
      </c>
      <c r="I105" s="3"/>
      <c r="J105" s="7">
        <f t="shared" si="21"/>
        <v>1.8917681600284523E-4</v>
      </c>
      <c r="K105" s="3"/>
      <c r="L105" s="8">
        <f t="shared" si="22"/>
        <v>32.78</v>
      </c>
      <c r="M105" s="3"/>
      <c r="N105" s="7">
        <f t="shared" si="23"/>
        <v>0.65560000000000007</v>
      </c>
      <c r="O105" s="12"/>
      <c r="P105" s="8">
        <v>852.79</v>
      </c>
      <c r="Q105" s="3"/>
      <c r="R105" s="7">
        <f t="shared" si="24"/>
        <v>1.7693380690072681E-4</v>
      </c>
      <c r="S105" s="3"/>
      <c r="T105" s="8">
        <v>230</v>
      </c>
      <c r="U105" s="3"/>
      <c r="V105" s="7">
        <f t="shared" si="25"/>
        <v>7.7605171878585027E-5</v>
      </c>
      <c r="W105" s="3"/>
      <c r="X105" s="8">
        <f t="shared" si="26"/>
        <v>622.79</v>
      </c>
      <c r="Y105" s="3"/>
      <c r="Z105" s="7">
        <f t="shared" si="27"/>
        <v>2.707782608695652</v>
      </c>
    </row>
    <row r="106" spans="1:26" s="70" customFormat="1" ht="15" hidden="1" customHeight="1" outlineLevel="2" x14ac:dyDescent="0.25">
      <c r="A106" s="25"/>
      <c r="B106" s="12" t="str">
        <f>CONCATENATE("          ","6241"," - ","OFFICE EXPENSE")</f>
        <v xml:space="preserve">          6241 - OFFICE EXPENSE</v>
      </c>
      <c r="C106" s="12"/>
      <c r="D106" s="8">
        <v>153.16999999999999</v>
      </c>
      <c r="E106" s="3"/>
      <c r="F106" s="7">
        <f t="shared" ref="F106:F117" si="28">IF(D$12=0,0,D106/D$12)</f>
        <v>1.9584852527543685E-4</v>
      </c>
      <c r="G106" s="3"/>
      <c r="H106" s="8">
        <v>45</v>
      </c>
      <c r="I106" s="3"/>
      <c r="J106" s="7">
        <f t="shared" ref="J106:J117" si="29">IF(H$12=0,0,H106/H$12)</f>
        <v>1.7025913440256069E-4</v>
      </c>
      <c r="K106" s="3"/>
      <c r="L106" s="8">
        <f t="shared" ref="L106:L117" si="30">+D106-H106</f>
        <v>108.16999999999999</v>
      </c>
      <c r="M106" s="3"/>
      <c r="N106" s="7">
        <f t="shared" ref="N106:N117" si="31">IF(H106=0,0,L106/H106)</f>
        <v>2.4037777777777776</v>
      </c>
      <c r="O106" s="12"/>
      <c r="P106" s="8">
        <v>2474.85</v>
      </c>
      <c r="Q106" s="3"/>
      <c r="R106" s="7">
        <f t="shared" ref="R106:R117" si="32">IF(P$12=0,0,P106/P$12)</f>
        <v>5.1347299101568234E-4</v>
      </c>
      <c r="S106" s="3"/>
      <c r="T106" s="8">
        <v>495</v>
      </c>
      <c r="U106" s="3"/>
      <c r="V106" s="7">
        <f t="shared" ref="V106:V117" si="33">IF(T$12=0,0,T106/T$12)</f>
        <v>1.6701982643434603E-4</v>
      </c>
      <c r="W106" s="3"/>
      <c r="X106" s="8">
        <f t="shared" ref="X106:X117" si="34">+P106-T106</f>
        <v>1979.85</v>
      </c>
      <c r="Y106" s="3"/>
      <c r="Z106" s="7">
        <f t="shared" ref="Z106:Z117" si="35">IF(T106=0,0,X106/T106)</f>
        <v>3.9996969696969695</v>
      </c>
    </row>
    <row r="107" spans="1:26" s="70" customFormat="1" ht="15" hidden="1" customHeight="1" outlineLevel="2" x14ac:dyDescent="0.25">
      <c r="A107" s="25"/>
      <c r="B107" s="12" t="str">
        <f>CONCATENATE("          ","6245"," - ","PRINTING")</f>
        <v xml:space="preserve">          6245 - PRINTING</v>
      </c>
      <c r="C107" s="12"/>
      <c r="D107" s="8"/>
      <c r="E107" s="3"/>
      <c r="F107" s="7">
        <f t="shared" si="28"/>
        <v>0</v>
      </c>
      <c r="G107" s="3"/>
      <c r="H107" s="8"/>
      <c r="I107" s="3"/>
      <c r="J107" s="7">
        <f t="shared" si="29"/>
        <v>0</v>
      </c>
      <c r="K107" s="3"/>
      <c r="L107" s="8">
        <f t="shared" si="30"/>
        <v>0</v>
      </c>
      <c r="M107" s="3"/>
      <c r="N107" s="7">
        <f t="shared" si="31"/>
        <v>0</v>
      </c>
      <c r="O107" s="12"/>
      <c r="P107" s="8">
        <v>35.549999999999997</v>
      </c>
      <c r="Q107" s="3"/>
      <c r="R107" s="7">
        <f t="shared" si="32"/>
        <v>7.3757863428520944E-6</v>
      </c>
      <c r="S107" s="3"/>
      <c r="T107" s="8"/>
      <c r="U107" s="3"/>
      <c r="V107" s="7">
        <f t="shared" si="33"/>
        <v>0</v>
      </c>
      <c r="W107" s="3"/>
      <c r="X107" s="8">
        <f t="shared" si="34"/>
        <v>35.549999999999997</v>
      </c>
      <c r="Y107" s="3"/>
      <c r="Z107" s="7">
        <f t="shared" si="35"/>
        <v>0</v>
      </c>
    </row>
    <row r="108" spans="1:26" s="70" customFormat="1" ht="15" hidden="1" customHeight="1" outlineLevel="2" x14ac:dyDescent="0.25">
      <c r="A108" s="25"/>
      <c r="B108" s="12" t="str">
        <f>CONCATENATE("          ","6247"," - ","STORE SUPPLIES")</f>
        <v xml:space="preserve">          6247 - STORE SUPPLIES</v>
      </c>
      <c r="C108" s="12"/>
      <c r="D108" s="8">
        <v>2944.94</v>
      </c>
      <c r="E108" s="3"/>
      <c r="F108" s="7">
        <f t="shared" si="28"/>
        <v>3.7655034016102701E-3</v>
      </c>
      <c r="G108" s="3"/>
      <c r="H108" s="8">
        <v>50</v>
      </c>
      <c r="I108" s="3"/>
      <c r="J108" s="7">
        <f t="shared" si="29"/>
        <v>1.8917681600284523E-4</v>
      </c>
      <c r="K108" s="3"/>
      <c r="L108" s="8">
        <f t="shared" si="30"/>
        <v>2894.94</v>
      </c>
      <c r="M108" s="3"/>
      <c r="N108" s="7">
        <f t="shared" si="31"/>
        <v>57.898800000000001</v>
      </c>
      <c r="O108" s="12"/>
      <c r="P108" s="8">
        <v>9964.4599999999991</v>
      </c>
      <c r="Q108" s="3"/>
      <c r="R108" s="7">
        <f t="shared" si="32"/>
        <v>2.0673903792375803E-3</v>
      </c>
      <c r="S108" s="3"/>
      <c r="T108" s="8">
        <v>550</v>
      </c>
      <c r="U108" s="3"/>
      <c r="V108" s="7">
        <f t="shared" si="33"/>
        <v>1.8557758492705113E-4</v>
      </c>
      <c r="W108" s="3"/>
      <c r="X108" s="8">
        <f t="shared" si="34"/>
        <v>9414.4599999999991</v>
      </c>
      <c r="Y108" s="3"/>
      <c r="Z108" s="7">
        <f t="shared" si="35"/>
        <v>17.117199999999997</v>
      </c>
    </row>
    <row r="109" spans="1:26" s="69" customFormat="1" ht="15" customHeight="1" outlineLevel="1" collapsed="1" x14ac:dyDescent="0.25">
      <c r="A109" s="26"/>
      <c r="B109" s="14" t="str">
        <f>CONCATENATE("     ","Telephone/Data Lines                              ")</f>
        <v xml:space="preserve">     Telephone/Data Lines                              </v>
      </c>
      <c r="C109" s="14"/>
      <c r="D109" s="2">
        <f>SUM(OSRRefD22_19x_0)</f>
        <v>625.44000000000005</v>
      </c>
      <c r="E109" s="2"/>
      <c r="F109" s="6">
        <f t="shared" si="28"/>
        <v>7.9970948389547069E-4</v>
      </c>
      <c r="G109" s="2"/>
      <c r="H109" s="2">
        <f>SUM(OSRRefH22_19x_0)</f>
        <v>550</v>
      </c>
      <c r="I109" s="2"/>
      <c r="J109" s="6">
        <f t="shared" si="29"/>
        <v>2.0809449760312974E-3</v>
      </c>
      <c r="K109" s="2"/>
      <c r="L109" s="2">
        <f t="shared" si="30"/>
        <v>75.440000000000055</v>
      </c>
      <c r="M109" s="2"/>
      <c r="N109" s="6">
        <f t="shared" si="31"/>
        <v>0.13716363636363646</v>
      </c>
      <c r="O109" s="14"/>
      <c r="P109" s="2">
        <f>SUM(OSRRefP22_19x_0)</f>
        <v>5988.09</v>
      </c>
      <c r="Q109" s="2"/>
      <c r="R109" s="6">
        <f t="shared" si="32"/>
        <v>1.2423874104576429E-3</v>
      </c>
      <c r="S109" s="2"/>
      <c r="T109" s="2">
        <f>SUM(OSRRefT22_19x_0)</f>
        <v>6050</v>
      </c>
      <c r="U109" s="2"/>
      <c r="V109" s="6">
        <f t="shared" si="33"/>
        <v>2.0413534341975625E-3</v>
      </c>
      <c r="W109" s="2"/>
      <c r="X109" s="2">
        <f t="shared" si="34"/>
        <v>-61.909999999999854</v>
      </c>
      <c r="Y109" s="2"/>
      <c r="Z109" s="6">
        <f t="shared" si="35"/>
        <v>-1.0233057851239645E-2</v>
      </c>
    </row>
    <row r="110" spans="1:26" s="70" customFormat="1" ht="15" hidden="1" customHeight="1" outlineLevel="2" x14ac:dyDescent="0.25">
      <c r="A110" s="25"/>
      <c r="B110" s="12" t="str">
        <f>CONCATENATE("          ","6309"," - ","TELEPHONE")</f>
        <v xml:space="preserve">          6309 - TELEPHONE</v>
      </c>
      <c r="C110" s="12"/>
      <c r="D110" s="8">
        <v>625.44000000000005</v>
      </c>
      <c r="E110" s="3"/>
      <c r="F110" s="7">
        <f t="shared" si="28"/>
        <v>7.9970948389547069E-4</v>
      </c>
      <c r="G110" s="3"/>
      <c r="H110" s="8">
        <v>550</v>
      </c>
      <c r="I110" s="3"/>
      <c r="J110" s="7">
        <f t="shared" si="29"/>
        <v>2.0809449760312974E-3</v>
      </c>
      <c r="K110" s="3"/>
      <c r="L110" s="8">
        <f t="shared" si="30"/>
        <v>75.440000000000055</v>
      </c>
      <c r="M110" s="3"/>
      <c r="N110" s="7">
        <f t="shared" si="31"/>
        <v>0.13716363636363646</v>
      </c>
      <c r="O110" s="12"/>
      <c r="P110" s="8">
        <v>5988.09</v>
      </c>
      <c r="Q110" s="3"/>
      <c r="R110" s="7">
        <f t="shared" si="32"/>
        <v>1.2423874104576429E-3</v>
      </c>
      <c r="S110" s="3"/>
      <c r="T110" s="8">
        <v>6050</v>
      </c>
      <c r="U110" s="3"/>
      <c r="V110" s="7">
        <f t="shared" si="33"/>
        <v>2.0413534341975625E-3</v>
      </c>
      <c r="W110" s="3"/>
      <c r="X110" s="8">
        <f t="shared" si="34"/>
        <v>-61.909999999999854</v>
      </c>
      <c r="Y110" s="3"/>
      <c r="Z110" s="7">
        <f t="shared" si="35"/>
        <v>-1.0233057851239645E-2</v>
      </c>
    </row>
    <row r="111" spans="1:26" s="69" customFormat="1" ht="15" customHeight="1" outlineLevel="1" collapsed="1" x14ac:dyDescent="0.25">
      <c r="A111" s="26"/>
      <c r="B111" s="14" t="str">
        <f>CONCATENATE("     ","Training                                          ")</f>
        <v xml:space="preserve">     Training                                          </v>
      </c>
      <c r="C111" s="14"/>
      <c r="D111" s="2">
        <f>SUM(OSRRefD22_20x_0)</f>
        <v>0</v>
      </c>
      <c r="E111" s="2"/>
      <c r="F111" s="6">
        <f t="shared" si="28"/>
        <v>0</v>
      </c>
      <c r="G111" s="2"/>
      <c r="H111" s="2">
        <f>SUM(OSRRefH22_20x_0)</f>
        <v>0</v>
      </c>
      <c r="I111" s="2"/>
      <c r="J111" s="6">
        <f t="shared" si="29"/>
        <v>0</v>
      </c>
      <c r="K111" s="2"/>
      <c r="L111" s="2">
        <f t="shared" si="30"/>
        <v>0</v>
      </c>
      <c r="M111" s="2"/>
      <c r="N111" s="6">
        <f t="shared" si="31"/>
        <v>0</v>
      </c>
      <c r="O111" s="14"/>
      <c r="P111" s="2">
        <f>SUM(OSRRefP22_20x_0)</f>
        <v>300</v>
      </c>
      <c r="Q111" s="2"/>
      <c r="R111" s="6">
        <f t="shared" si="32"/>
        <v>6.2242922724490258E-5</v>
      </c>
      <c r="S111" s="2"/>
      <c r="T111" s="2">
        <f>SUM(OSRRefT22_20x_0)</f>
        <v>0</v>
      </c>
      <c r="U111" s="2"/>
      <c r="V111" s="6">
        <f t="shared" si="33"/>
        <v>0</v>
      </c>
      <c r="W111" s="2"/>
      <c r="X111" s="2">
        <f t="shared" si="34"/>
        <v>300</v>
      </c>
      <c r="Y111" s="2"/>
      <c r="Z111" s="6">
        <f t="shared" si="35"/>
        <v>0</v>
      </c>
    </row>
    <row r="112" spans="1:26" s="70" customFormat="1" ht="15" hidden="1" customHeight="1" outlineLevel="2" x14ac:dyDescent="0.25">
      <c r="A112" s="25"/>
      <c r="B112" s="12" t="str">
        <f>CONCATENATE("          ","6376"," - ","TRAINING")</f>
        <v xml:space="preserve">          6376 - TRAINING</v>
      </c>
      <c r="C112" s="12"/>
      <c r="D112" s="8"/>
      <c r="E112" s="3"/>
      <c r="F112" s="7">
        <f t="shared" si="28"/>
        <v>0</v>
      </c>
      <c r="G112" s="3"/>
      <c r="H112" s="8"/>
      <c r="I112" s="3"/>
      <c r="J112" s="7">
        <f t="shared" si="29"/>
        <v>0</v>
      </c>
      <c r="K112" s="3"/>
      <c r="L112" s="8">
        <f t="shared" si="30"/>
        <v>0</v>
      </c>
      <c r="M112" s="3"/>
      <c r="N112" s="7">
        <f t="shared" si="31"/>
        <v>0</v>
      </c>
      <c r="O112" s="12"/>
      <c r="P112" s="8">
        <v>300</v>
      </c>
      <c r="Q112" s="3"/>
      <c r="R112" s="7">
        <f t="shared" si="32"/>
        <v>6.2242922724490258E-5</v>
      </c>
      <c r="S112" s="3"/>
      <c r="T112" s="8"/>
      <c r="U112" s="3"/>
      <c r="V112" s="7">
        <f t="shared" si="33"/>
        <v>0</v>
      </c>
      <c r="W112" s="3"/>
      <c r="X112" s="8">
        <f t="shared" si="34"/>
        <v>300</v>
      </c>
      <c r="Y112" s="3"/>
      <c r="Z112" s="7">
        <f t="shared" si="35"/>
        <v>0</v>
      </c>
    </row>
    <row r="113" spans="1:26" s="69" customFormat="1" ht="15" customHeight="1" outlineLevel="1" collapsed="1" x14ac:dyDescent="0.25">
      <c r="A113" s="26"/>
      <c r="B113" s="14" t="str">
        <f>CONCATENATE("     ","Travel                                            ")</f>
        <v xml:space="preserve">     Travel                                            </v>
      </c>
      <c r="C113" s="14"/>
      <c r="D113" s="2">
        <f>SUM(OSRRefD22_21x_0)</f>
        <v>187.15</v>
      </c>
      <c r="E113" s="2"/>
      <c r="F113" s="6">
        <f t="shared" si="28"/>
        <v>2.3929654309132344E-4</v>
      </c>
      <c r="G113" s="2"/>
      <c r="H113" s="2">
        <f>SUM(OSRRefH22_21x_0)</f>
        <v>50</v>
      </c>
      <c r="I113" s="2"/>
      <c r="J113" s="6">
        <f t="shared" si="29"/>
        <v>1.8917681600284523E-4</v>
      </c>
      <c r="K113" s="2"/>
      <c r="L113" s="2">
        <f t="shared" si="30"/>
        <v>137.15</v>
      </c>
      <c r="M113" s="2"/>
      <c r="N113" s="6">
        <f t="shared" si="31"/>
        <v>2.7430000000000003</v>
      </c>
      <c r="O113" s="14"/>
      <c r="P113" s="2">
        <f>SUM(OSRRefP22_21x_0)</f>
        <v>590.63</v>
      </c>
      <c r="Q113" s="2"/>
      <c r="R113" s="6">
        <f t="shared" si="32"/>
        <v>1.2254179149588559E-4</v>
      </c>
      <c r="S113" s="2"/>
      <c r="T113" s="2">
        <f>SUM(OSRRefT22_21x_0)</f>
        <v>800</v>
      </c>
      <c r="U113" s="2"/>
      <c r="V113" s="6">
        <f t="shared" si="33"/>
        <v>2.6993103262116532E-4</v>
      </c>
      <c r="W113" s="2"/>
      <c r="X113" s="2">
        <f t="shared" si="34"/>
        <v>-209.37</v>
      </c>
      <c r="Y113" s="2"/>
      <c r="Z113" s="6">
        <f t="shared" si="35"/>
        <v>-0.26171250000000001</v>
      </c>
    </row>
    <row r="114" spans="1:26" s="70" customFormat="1" ht="15" hidden="1" customHeight="1" outlineLevel="2" x14ac:dyDescent="0.25">
      <c r="A114" s="25"/>
      <c r="B114" s="12" t="str">
        <f>CONCATENATE("          ","6294"," - ","TRAVEL OPERATIONAL")</f>
        <v xml:space="preserve">          6294 - TRAVEL OPERATIONAL</v>
      </c>
      <c r="C114" s="12"/>
      <c r="D114" s="8">
        <v>187.15</v>
      </c>
      <c r="E114" s="3"/>
      <c r="F114" s="7">
        <f t="shared" si="28"/>
        <v>2.3929654309132344E-4</v>
      </c>
      <c r="G114" s="3"/>
      <c r="H114" s="8">
        <v>25</v>
      </c>
      <c r="I114" s="3"/>
      <c r="J114" s="7">
        <f t="shared" si="29"/>
        <v>9.4588408001422615E-5</v>
      </c>
      <c r="K114" s="3"/>
      <c r="L114" s="8">
        <f t="shared" si="30"/>
        <v>162.15</v>
      </c>
      <c r="M114" s="3"/>
      <c r="N114" s="7">
        <f t="shared" si="31"/>
        <v>6.4860000000000007</v>
      </c>
      <c r="O114" s="12"/>
      <c r="P114" s="8">
        <v>590.63</v>
      </c>
      <c r="Q114" s="3"/>
      <c r="R114" s="7">
        <f t="shared" si="32"/>
        <v>1.2254179149588559E-4</v>
      </c>
      <c r="S114" s="3"/>
      <c r="T114" s="8">
        <v>275</v>
      </c>
      <c r="U114" s="3"/>
      <c r="V114" s="7">
        <f t="shared" si="33"/>
        <v>9.2788792463525566E-5</v>
      </c>
      <c r="W114" s="3"/>
      <c r="X114" s="8">
        <f t="shared" si="34"/>
        <v>315.63</v>
      </c>
      <c r="Y114" s="3"/>
      <c r="Z114" s="7">
        <f t="shared" si="35"/>
        <v>1.1477454545454546</v>
      </c>
    </row>
    <row r="115" spans="1:26" s="70" customFormat="1" ht="15" hidden="1" customHeight="1" outlineLevel="2" x14ac:dyDescent="0.25">
      <c r="A115" s="25"/>
      <c r="B115" s="12" t="str">
        <f>CONCATENATE("          ","6298"," - ","VEHICLE MILEAGE")</f>
        <v xml:space="preserve">          6298 - VEHICLE MILEAGE</v>
      </c>
      <c r="C115" s="12"/>
      <c r="D115" s="8"/>
      <c r="E115" s="3"/>
      <c r="F115" s="7">
        <f t="shared" si="28"/>
        <v>0</v>
      </c>
      <c r="G115" s="3"/>
      <c r="H115" s="8">
        <v>25</v>
      </c>
      <c r="I115" s="3"/>
      <c r="J115" s="7">
        <f t="shared" si="29"/>
        <v>9.4588408001422615E-5</v>
      </c>
      <c r="K115" s="3"/>
      <c r="L115" s="8">
        <f t="shared" si="30"/>
        <v>-25</v>
      </c>
      <c r="M115" s="3"/>
      <c r="N115" s="7">
        <f t="shared" si="31"/>
        <v>-1</v>
      </c>
      <c r="O115" s="12"/>
      <c r="P115" s="8"/>
      <c r="Q115" s="3"/>
      <c r="R115" s="7">
        <f t="shared" si="32"/>
        <v>0</v>
      </c>
      <c r="S115" s="3"/>
      <c r="T115" s="8">
        <v>525</v>
      </c>
      <c r="U115" s="3"/>
      <c r="V115" s="7">
        <f t="shared" si="33"/>
        <v>1.7714224015763971E-4</v>
      </c>
      <c r="W115" s="3"/>
      <c r="X115" s="8">
        <f t="shared" si="34"/>
        <v>-525</v>
      </c>
      <c r="Y115" s="3"/>
      <c r="Z115" s="7">
        <f t="shared" si="35"/>
        <v>-1</v>
      </c>
    </row>
    <row r="116" spans="1:26" s="69" customFormat="1" ht="15" customHeight="1" outlineLevel="1" collapsed="1" x14ac:dyDescent="0.25">
      <c r="A116" s="26"/>
      <c r="B116" s="14" t="str">
        <f>CONCATENATE("     ","Utilities                                         ")</f>
        <v xml:space="preserve">     Utilities                                         </v>
      </c>
      <c r="C116" s="14"/>
      <c r="D116" s="2">
        <f>SUM(OSRRefD22_22x_0)</f>
        <v>16.670000000000002</v>
      </c>
      <c r="E116" s="2"/>
      <c r="F116" s="6">
        <f t="shared" si="28"/>
        <v>2.1314845703085022E-5</v>
      </c>
      <c r="G116" s="2"/>
      <c r="H116" s="2">
        <f>SUM(OSRRefH22_22x_0)</f>
        <v>120</v>
      </c>
      <c r="I116" s="2"/>
      <c r="J116" s="6">
        <f t="shared" si="29"/>
        <v>4.5402435840682855E-4</v>
      </c>
      <c r="K116" s="2"/>
      <c r="L116" s="2">
        <f t="shared" si="30"/>
        <v>-103.33</v>
      </c>
      <c r="M116" s="2"/>
      <c r="N116" s="6">
        <f t="shared" si="31"/>
        <v>-0.86108333333333331</v>
      </c>
      <c r="O116" s="14"/>
      <c r="P116" s="2">
        <f>SUM(OSRRefP22_22x_0)</f>
        <v>1303.8900000000001</v>
      </c>
      <c r="Q116" s="2"/>
      <c r="R116" s="6">
        <f t="shared" si="32"/>
        <v>2.7052641503745199E-4</v>
      </c>
      <c r="S116" s="2"/>
      <c r="T116" s="2">
        <f>SUM(OSRRefT22_22x_0)</f>
        <v>4000</v>
      </c>
      <c r="U116" s="2"/>
      <c r="V116" s="6">
        <f t="shared" si="33"/>
        <v>1.3496551631058265E-3</v>
      </c>
      <c r="W116" s="2"/>
      <c r="X116" s="2">
        <f t="shared" si="34"/>
        <v>-2696.1099999999997</v>
      </c>
      <c r="Y116" s="2"/>
      <c r="Z116" s="6">
        <f t="shared" si="35"/>
        <v>-0.67402749999999989</v>
      </c>
    </row>
    <row r="117" spans="1:26" s="70" customFormat="1" ht="15" hidden="1" customHeight="1" outlineLevel="2" x14ac:dyDescent="0.25">
      <c r="A117" s="25"/>
      <c r="B117" s="12" t="str">
        <f>CONCATENATE("          ","6274"," - ","UTILITIES")</f>
        <v xml:space="preserve">          6274 - UTILITIES</v>
      </c>
      <c r="C117" s="12"/>
      <c r="D117" s="8">
        <v>16.670000000000002</v>
      </c>
      <c r="E117" s="3"/>
      <c r="F117" s="7">
        <f t="shared" si="28"/>
        <v>2.1314845703085022E-5</v>
      </c>
      <c r="G117" s="3"/>
      <c r="H117" s="8">
        <v>120</v>
      </c>
      <c r="I117" s="3"/>
      <c r="J117" s="7">
        <f t="shared" si="29"/>
        <v>4.5402435840682855E-4</v>
      </c>
      <c r="K117" s="3"/>
      <c r="L117" s="8">
        <f t="shared" si="30"/>
        <v>-103.33</v>
      </c>
      <c r="M117" s="3"/>
      <c r="N117" s="7">
        <f t="shared" si="31"/>
        <v>-0.86108333333333331</v>
      </c>
      <c r="O117" s="12"/>
      <c r="P117" s="8">
        <v>1303.8900000000001</v>
      </c>
      <c r="Q117" s="3"/>
      <c r="R117" s="7">
        <f t="shared" si="32"/>
        <v>2.7052641503745199E-4</v>
      </c>
      <c r="S117" s="3"/>
      <c r="T117" s="8">
        <v>4000</v>
      </c>
      <c r="U117" s="3"/>
      <c r="V117" s="7">
        <f t="shared" si="33"/>
        <v>1.3496551631058265E-3</v>
      </c>
      <c r="W117" s="3"/>
      <c r="X117" s="8">
        <f t="shared" si="34"/>
        <v>-2696.1099999999997</v>
      </c>
      <c r="Y117" s="3"/>
      <c r="Z117" s="7">
        <f t="shared" si="35"/>
        <v>-0.67402749999999989</v>
      </c>
    </row>
    <row r="118" spans="1:26" s="65" customFormat="1" ht="15" customHeight="1" x14ac:dyDescent="0.25">
      <c r="A118" s="35"/>
      <c r="B118" s="35"/>
      <c r="C118" s="35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O118" s="35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63" customFormat="1" ht="15" customHeight="1" collapsed="1" x14ac:dyDescent="0.25">
      <c r="A119" s="11"/>
      <c r="B119" s="27" t="s">
        <v>291</v>
      </c>
      <c r="C119" s="11"/>
      <c r="D119" s="5">
        <f>SUM(OSRRefD25x_0)</f>
        <v>384795</v>
      </c>
      <c r="E119" s="5"/>
      <c r="F119" s="13">
        <f>IF(D$12=0,0,D119/D$12)</f>
        <v>0.49201236066698262</v>
      </c>
      <c r="G119" s="5"/>
      <c r="H119" s="5">
        <f>SUM(OSRRefH25x_0)</f>
        <v>250000</v>
      </c>
      <c r="I119" s="5"/>
      <c r="J119" s="13">
        <f>IF(H$12=0,0,H119/H$12)</f>
        <v>0.94588408001422608</v>
      </c>
      <c r="K119" s="5"/>
      <c r="L119" s="5">
        <f>+D119-H119</f>
        <v>134795</v>
      </c>
      <c r="M119" s="5"/>
      <c r="N119" s="13">
        <f>IF(H119=0,0,L119/H119)</f>
        <v>0.53917999999999999</v>
      </c>
      <c r="O119" s="11"/>
      <c r="P119" s="5">
        <f>SUM(OSRRefP25x_0)</f>
        <v>752375.02999999991</v>
      </c>
      <c r="Q119" s="5"/>
      <c r="R119" s="13">
        <f>IF(P$12=0,0,P119/P$12)</f>
        <v>0.15610006950708677</v>
      </c>
      <c r="S119" s="5"/>
      <c r="T119" s="5">
        <f>SUM(OSRRefT25x_0)</f>
        <v>443672</v>
      </c>
      <c r="U119" s="5"/>
      <c r="V119" s="13">
        <f>IF(T$12=0,0,T119/T$12)</f>
        <v>0.14970105138137205</v>
      </c>
      <c r="W119" s="5"/>
      <c r="X119" s="5">
        <f>+P119-T119</f>
        <v>308703.02999999991</v>
      </c>
      <c r="Y119" s="5"/>
      <c r="Z119" s="13">
        <f>IF(T119=0,0,X119/T119)</f>
        <v>0.69579110243603359</v>
      </c>
    </row>
    <row r="120" spans="1:26" s="70" customFormat="1" ht="15" hidden="1" customHeight="1" outlineLevel="1" x14ac:dyDescent="0.25">
      <c r="A120" s="42"/>
      <c r="B120" s="12" t="str">
        <f>CONCATENATE("          ","9150"," - ","MISC. INCOME")</f>
        <v xml:space="preserve">          9150 - MISC. INCOME</v>
      </c>
      <c r="C120" s="12"/>
      <c r="D120" s="3">
        <f>--145</f>
        <v>145</v>
      </c>
      <c r="E120" s="3"/>
      <c r="F120" s="20">
        <f>IF(D$12=0,0,D120/D$12)</f>
        <v>1.8540207720139939E-4</v>
      </c>
      <c r="G120" s="3"/>
      <c r="H120" s="3">
        <v>0</v>
      </c>
      <c r="I120" s="3"/>
      <c r="J120" s="20">
        <f>IF(H$12=0,0,H120/H$12)</f>
        <v>0</v>
      </c>
      <c r="K120" s="3"/>
      <c r="L120" s="3">
        <f>+D120-H120</f>
        <v>145</v>
      </c>
      <c r="M120" s="3"/>
      <c r="N120" s="20">
        <f>IF(H120=0,0,L120/H120)</f>
        <v>0</v>
      </c>
      <c r="O120" s="12"/>
      <c r="P120" s="3">
        <f>--110905.33</f>
        <v>110905.33</v>
      </c>
      <c r="Q120" s="3"/>
      <c r="R120" s="20">
        <f>IF(P$12=0,0,P120/P$12)</f>
        <v>2.3010239616413637E-2</v>
      </c>
      <c r="S120" s="3"/>
      <c r="T120" s="3">
        <v>77006</v>
      </c>
      <c r="U120" s="3"/>
      <c r="V120" s="20">
        <f>IF(T$12=0,0,T120/T$12)</f>
        <v>2.5982886372531818E-2</v>
      </c>
      <c r="W120" s="3"/>
      <c r="X120" s="3">
        <f>+P120-T120</f>
        <v>33899.33</v>
      </c>
      <c r="Y120" s="3"/>
      <c r="Z120" s="20">
        <f>IF(T120=0,0,X120/T120)</f>
        <v>0.44021673635820585</v>
      </c>
    </row>
    <row r="121" spans="1:26" s="70" customFormat="1" ht="15" hidden="1" customHeight="1" outlineLevel="1" x14ac:dyDescent="0.25">
      <c r="A121" s="42"/>
      <c r="B121" s="12" t="str">
        <f>CONCATENATE("          ","9151"," - ","MISC. INCOME")</f>
        <v xml:space="preserve">          9151 - MISC. INCOME</v>
      </c>
      <c r="C121" s="12"/>
      <c r="D121" s="3">
        <f>0</f>
        <v>0</v>
      </c>
      <c r="E121" s="3"/>
      <c r="F121" s="20">
        <f>IF(D$12=0,0,D121/D$12)</f>
        <v>0</v>
      </c>
      <c r="G121" s="3"/>
      <c r="H121" s="3">
        <v>250000</v>
      </c>
      <c r="I121" s="3"/>
      <c r="J121" s="20">
        <f>IF(H$12=0,0,H121/H$12)</f>
        <v>0.94588408001422608</v>
      </c>
      <c r="K121" s="3"/>
      <c r="L121" s="3">
        <f>+D121-H121</f>
        <v>-250000</v>
      </c>
      <c r="M121" s="3"/>
      <c r="N121" s="20">
        <f>IF(H121=0,0,L121/H121)</f>
        <v>-1</v>
      </c>
      <c r="O121" s="12"/>
      <c r="P121" s="3">
        <f>0</f>
        <v>0</v>
      </c>
      <c r="Q121" s="3"/>
      <c r="R121" s="20">
        <f>IF(P$12=0,0,P121/P$12)</f>
        <v>0</v>
      </c>
      <c r="S121" s="3"/>
      <c r="T121" s="3">
        <v>250000</v>
      </c>
      <c r="U121" s="3"/>
      <c r="V121" s="20">
        <f>IF(T$12=0,0,T121/T$12)</f>
        <v>8.4353447694114153E-2</v>
      </c>
      <c r="W121" s="3"/>
      <c r="X121" s="3">
        <f>+P121-T121</f>
        <v>-250000</v>
      </c>
      <c r="Y121" s="3"/>
      <c r="Z121" s="20">
        <f>IF(T121=0,0,X121/T121)</f>
        <v>-1</v>
      </c>
    </row>
    <row r="122" spans="1:26" s="70" customFormat="1" ht="15" hidden="1" customHeight="1" outlineLevel="1" x14ac:dyDescent="0.25">
      <c r="A122" s="42"/>
      <c r="B122" s="12" t="str">
        <f>CONCATENATE("          ","9160"," - ","MISC. INCOME")</f>
        <v xml:space="preserve">          9160 - MISC. INCOME</v>
      </c>
      <c r="C122" s="12"/>
      <c r="D122" s="3">
        <f>0</f>
        <v>0</v>
      </c>
      <c r="E122" s="3"/>
      <c r="F122" s="20">
        <f>IF(D$12=0,0,D122/D$12)</f>
        <v>0</v>
      </c>
      <c r="G122" s="3"/>
      <c r="H122" s="3"/>
      <c r="I122" s="3"/>
      <c r="J122" s="20">
        <f>IF(H$12=0,0,H122/H$12)</f>
        <v>0</v>
      </c>
      <c r="K122" s="3"/>
      <c r="L122" s="3">
        <f>+D122-H122</f>
        <v>0</v>
      </c>
      <c r="M122" s="3"/>
      <c r="N122" s="20">
        <f>IF(H122=0,0,L122/H122)</f>
        <v>0</v>
      </c>
      <c r="O122" s="12"/>
      <c r="P122" s="3">
        <f>0</f>
        <v>0</v>
      </c>
      <c r="Q122" s="3"/>
      <c r="R122" s="20">
        <f>IF(P$12=0,0,P122/P$12)</f>
        <v>0</v>
      </c>
      <c r="S122" s="3"/>
      <c r="T122" s="3">
        <v>116666</v>
      </c>
      <c r="U122" s="3"/>
      <c r="V122" s="20">
        <f>IF(T$12=0,0,T122/T$12)</f>
        <v>3.9364717314726086E-2</v>
      </c>
      <c r="W122" s="3"/>
      <c r="X122" s="3">
        <f>+P122-T122</f>
        <v>-116666</v>
      </c>
      <c r="Y122" s="3"/>
      <c r="Z122" s="20">
        <f>IF(T122=0,0,X122/T122)</f>
        <v>-1</v>
      </c>
    </row>
    <row r="123" spans="1:26" s="70" customFormat="1" ht="15" hidden="1" customHeight="1" outlineLevel="1" x14ac:dyDescent="0.25">
      <c r="A123" s="42"/>
      <c r="B123" s="12" t="str">
        <f>CONCATENATE("          ","9163"," - ","MISC. INCOME")</f>
        <v xml:space="preserve">          9163 - MISC. INCOME</v>
      </c>
      <c r="C123" s="12"/>
      <c r="D123" s="3">
        <f>--384650</f>
        <v>384650</v>
      </c>
      <c r="E123" s="3"/>
      <c r="F123" s="20">
        <f>IF(D$12=0,0,D123/D$12)</f>
        <v>0.49182695858978126</v>
      </c>
      <c r="G123" s="3"/>
      <c r="H123" s="3"/>
      <c r="I123" s="3"/>
      <c r="J123" s="20">
        <f>IF(H$12=0,0,H123/H$12)</f>
        <v>0</v>
      </c>
      <c r="K123" s="3"/>
      <c r="L123" s="3">
        <f>+D123-H123</f>
        <v>384650</v>
      </c>
      <c r="M123" s="3"/>
      <c r="N123" s="20">
        <f>IF(H123=0,0,L123/H123)</f>
        <v>0</v>
      </c>
      <c r="O123" s="12"/>
      <c r="P123" s="3">
        <f>--641469.7</f>
        <v>641469.69999999995</v>
      </c>
      <c r="Q123" s="3"/>
      <c r="R123" s="20">
        <f>IF(P$12=0,0,P123/P$12)</f>
        <v>0.13308982989067314</v>
      </c>
      <c r="S123" s="3"/>
      <c r="T123" s="3"/>
      <c r="U123" s="3"/>
      <c r="V123" s="20">
        <f>IF(T$12=0,0,T123/T$12)</f>
        <v>0</v>
      </c>
      <c r="W123" s="3"/>
      <c r="X123" s="3">
        <f>+P123-T123</f>
        <v>641469.69999999995</v>
      </c>
      <c r="Y123" s="3"/>
      <c r="Z123" s="20">
        <f>IF(T123=0,0,X123/T123)</f>
        <v>0</v>
      </c>
    </row>
    <row r="124" spans="1:26" ht="15" customHeight="1" x14ac:dyDescent="0.25">
      <c r="A124" s="10"/>
      <c r="B124" s="11"/>
      <c r="C124" s="11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O124" s="11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s="63" customFormat="1" ht="15" customHeight="1" x14ac:dyDescent="0.25">
      <c r="A125" s="11"/>
      <c r="B125" s="28" t="s">
        <v>292</v>
      </c>
      <c r="C125" s="28"/>
      <c r="D125" s="22">
        <f>+D40-D42+D119</f>
        <v>715681.95</v>
      </c>
      <c r="E125" s="15"/>
      <c r="F125" s="21">
        <f>IF(D$12=0,0,D125/D$12)</f>
        <v>0.91509600100377975</v>
      </c>
      <c r="G125" s="15"/>
      <c r="H125" s="22">
        <f>+H40-H42+H119</f>
        <v>281053.89725810767</v>
      </c>
      <c r="I125" s="15"/>
      <c r="J125" s="21">
        <f>IF(H$12=0,0,H125/H$12)</f>
        <v>1.0633776281695919</v>
      </c>
      <c r="K125" s="16"/>
      <c r="L125" s="22">
        <f>+D125-H125</f>
        <v>434628.05274189229</v>
      </c>
      <c r="M125" s="16"/>
      <c r="N125" s="21">
        <f>IF(H125=0,0,L125/H125)</f>
        <v>1.5464224370557254</v>
      </c>
      <c r="O125" s="27"/>
      <c r="P125" s="22">
        <f>+P40-P42+P119</f>
        <v>2188749.0299999989</v>
      </c>
      <c r="Q125" s="15"/>
      <c r="R125" s="21">
        <f>IF(P$12=0,0,P125/P$12)</f>
        <v>0.45411378912530975</v>
      </c>
      <c r="S125" s="15"/>
      <c r="T125" s="22">
        <f>+T40-T42+T119</f>
        <v>705876.95118709235</v>
      </c>
      <c r="U125" s="15"/>
      <c r="V125" s="21">
        <f>IF(T$12=0,0,T125/T$12)</f>
        <v>0.23817261792176467</v>
      </c>
      <c r="W125" s="16"/>
      <c r="X125" s="22">
        <f>+P125-T125</f>
        <v>1482872.0788129065</v>
      </c>
      <c r="Y125" s="16"/>
      <c r="Z125" s="21">
        <f>IF(T125=0,0,X125/T125)</f>
        <v>2.1007515209543541</v>
      </c>
    </row>
    <row r="126" spans="1:26" ht="15" customHeight="1" x14ac:dyDescent="0.25">
      <c r="A126" s="10"/>
      <c r="B126" s="11"/>
      <c r="C126" s="10"/>
      <c r="D126" s="4"/>
      <c r="E126" s="4"/>
      <c r="F126" s="9"/>
      <c r="G126" s="4"/>
      <c r="H126" s="4"/>
      <c r="I126" s="4"/>
      <c r="J126" s="9"/>
      <c r="K126" s="4"/>
      <c r="L126" s="4"/>
      <c r="M126" s="4"/>
      <c r="N126" s="9"/>
      <c r="P126" s="4"/>
      <c r="Q126" s="4"/>
      <c r="R126" s="9"/>
      <c r="S126" s="4"/>
      <c r="T126" s="4"/>
      <c r="U126" s="4"/>
      <c r="V126" s="9"/>
      <c r="W126" s="4"/>
      <c r="X126" s="4"/>
      <c r="Y126" s="4"/>
      <c r="Z126" s="9"/>
    </row>
    <row r="127" spans="1:26" s="63" customFormat="1" ht="15" customHeight="1" x14ac:dyDescent="0.25">
      <c r="A127" s="49"/>
      <c r="B127" s="11" t="s">
        <v>293</v>
      </c>
      <c r="C127" s="11"/>
      <c r="D127" s="5">
        <v>84459.57</v>
      </c>
      <c r="E127" s="5"/>
      <c r="F127" s="13">
        <f>IF(D$12=0,0,D127/D$12)</f>
        <v>0.10799296356922068</v>
      </c>
      <c r="G127" s="5"/>
      <c r="H127" s="5">
        <v>35322</v>
      </c>
      <c r="I127" s="5"/>
      <c r="J127" s="13">
        <f>IF(H$12=0,0,H127/H$12)</f>
        <v>0.13364206989704996</v>
      </c>
      <c r="K127" s="5"/>
      <c r="L127" s="5">
        <f>+D127-H127</f>
        <v>49137.570000000007</v>
      </c>
      <c r="M127" s="5"/>
      <c r="N127" s="13">
        <f>IF(H127=0,0,L127/H127)</f>
        <v>1.3911321555970786</v>
      </c>
      <c r="O127" s="11"/>
      <c r="P127" s="5">
        <v>541870.54</v>
      </c>
      <c r="Q127" s="5"/>
      <c r="R127" s="13">
        <f>IF(P$12=0,0,P127/P$12)</f>
        <v>0.11242535382632603</v>
      </c>
      <c r="S127" s="5"/>
      <c r="T127" s="5">
        <v>367390</v>
      </c>
      <c r="U127" s="5"/>
      <c r="V127" s="13">
        <f>IF(T$12=0,0,T127/T$12)</f>
        <v>0.1239624525933624</v>
      </c>
      <c r="W127" s="5"/>
      <c r="X127" s="5">
        <f>+P127-T127</f>
        <v>174480.54000000004</v>
      </c>
      <c r="Y127" s="5"/>
      <c r="Z127" s="13">
        <f>IF(T127=0,0,X127/T127)</f>
        <v>0.47491913225727439</v>
      </c>
    </row>
    <row r="128" spans="1:26" ht="15" customHeight="1" x14ac:dyDescent="0.25">
      <c r="A128" s="10"/>
      <c r="B128" s="11"/>
      <c r="C128" s="11"/>
      <c r="D128" s="4"/>
      <c r="E128" s="4"/>
      <c r="F128" s="9"/>
      <c r="G128" s="4"/>
      <c r="H128" s="4"/>
      <c r="I128" s="4"/>
      <c r="J128" s="9"/>
      <c r="K128" s="4"/>
      <c r="L128" s="4"/>
      <c r="M128" s="4"/>
      <c r="N128" s="9"/>
      <c r="O128" s="11"/>
      <c r="P128" s="4"/>
      <c r="Q128" s="4"/>
      <c r="R128" s="9"/>
      <c r="S128" s="4"/>
      <c r="T128" s="4"/>
      <c r="U128" s="4"/>
      <c r="V128" s="9"/>
      <c r="W128" s="4"/>
      <c r="X128" s="4"/>
      <c r="Y128" s="4"/>
      <c r="Z128" s="9"/>
    </row>
    <row r="129" spans="1:26" s="63" customFormat="1" ht="15" customHeight="1" x14ac:dyDescent="0.25">
      <c r="A129" s="11"/>
      <c r="B129" s="28" t="s">
        <v>294</v>
      </c>
      <c r="C129" s="28"/>
      <c r="D129" s="34">
        <f>+D125-D127</f>
        <v>631222.37999999989</v>
      </c>
      <c r="E129" s="15"/>
      <c r="F129" s="32">
        <f>IF(D$12=0,0,D129/D$12)</f>
        <v>0.80710303743455891</v>
      </c>
      <c r="G129" s="15"/>
      <c r="H129" s="34">
        <f>+H125-H127</f>
        <v>245731.89725810767</v>
      </c>
      <c r="I129" s="15"/>
      <c r="J129" s="32">
        <f>IF(H$12=0,0,H129/H$12)</f>
        <v>0.92973555827254195</v>
      </c>
      <c r="K129" s="16"/>
      <c r="L129" s="34">
        <f>D129-H129</f>
        <v>385490.48274189222</v>
      </c>
      <c r="M129" s="16"/>
      <c r="N129" s="32">
        <f>IF(H129=0,0,L129/H129)</f>
        <v>1.5687441762474463</v>
      </c>
      <c r="O129" s="27"/>
      <c r="P129" s="34">
        <f>+P125-P127</f>
        <v>1646878.4899999988</v>
      </c>
      <c r="Q129" s="15"/>
      <c r="R129" s="32">
        <f>IF(P$12=0,0,P129/P$12)</f>
        <v>0.34168843529898374</v>
      </c>
      <c r="S129" s="15"/>
      <c r="T129" s="34">
        <f>+T125-T127</f>
        <v>338486.95118709235</v>
      </c>
      <c r="U129" s="15"/>
      <c r="V129" s="32">
        <f>IF(T$12=0,0,T129/T$12)</f>
        <v>0.11421016532840227</v>
      </c>
      <c r="W129" s="16"/>
      <c r="X129" s="34">
        <f>P129-T129</f>
        <v>1308391.5388129065</v>
      </c>
      <c r="Y129" s="16"/>
      <c r="Z129" s="32">
        <f>IF(T129=0,0,X129/T129)</f>
        <v>3.8654120468287045</v>
      </c>
    </row>
    <row r="130" spans="1:26" ht="15" customHeight="1" x14ac:dyDescent="0.25">
      <c r="A130" s="10"/>
      <c r="B130" s="10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ht="15" customHeight="1" x14ac:dyDescent="0.25">
      <c r="A131" s="10"/>
      <c r="B131" s="10"/>
      <c r="C131" s="10"/>
      <c r="D131" s="4"/>
      <c r="E131" s="4"/>
      <c r="F131" s="9"/>
      <c r="G131" s="4"/>
      <c r="H131" s="4"/>
      <c r="I131" s="4"/>
      <c r="J131" s="9"/>
      <c r="K131" s="4"/>
      <c r="L131" s="4"/>
      <c r="M131" s="4"/>
      <c r="N131" s="9"/>
      <c r="P131" s="4"/>
      <c r="Q131" s="4"/>
      <c r="R131" s="9"/>
      <c r="S131" s="4"/>
      <c r="T131" s="4"/>
      <c r="U131" s="4"/>
      <c r="V131" s="9"/>
      <c r="W131" s="4"/>
      <c r="X131" s="4"/>
      <c r="Y131" s="4"/>
      <c r="Z131" s="9"/>
    </row>
    <row r="132" spans="1:26" s="63" customFormat="1" ht="15" customHeight="1" x14ac:dyDescent="0.25">
      <c r="A132" s="11"/>
      <c r="B132" s="28" t="s">
        <v>297</v>
      </c>
      <c r="C132" s="28"/>
      <c r="D132" s="30">
        <f>SUM(D129:D131)</f>
        <v>631222.37999999989</v>
      </c>
      <c r="E132" s="15"/>
      <c r="F132" s="33">
        <f>IF(D$12=0,0,D132/D$12)</f>
        <v>0.80710303743455891</v>
      </c>
      <c r="G132" s="15"/>
      <c r="H132" s="30">
        <f>SUM(H129:H131)</f>
        <v>245731.89725810767</v>
      </c>
      <c r="I132" s="15"/>
      <c r="J132" s="33">
        <f>IF(H$12=0,0,H132/H$12)</f>
        <v>0.92973555827254195</v>
      </c>
      <c r="K132" s="16"/>
      <c r="L132" s="30">
        <f>+D132-H132</f>
        <v>385490.48274189222</v>
      </c>
      <c r="M132" s="16"/>
      <c r="N132" s="33">
        <f>IF(H132=0,0,L132/H132)</f>
        <v>1.5687441762474463</v>
      </c>
      <c r="O132" s="27"/>
      <c r="P132" s="30">
        <f>SUM(P129:P131)</f>
        <v>1646878.4899999988</v>
      </c>
      <c r="Q132" s="15"/>
      <c r="R132" s="33">
        <f>IF(P$12=0,0,P132/P$12)</f>
        <v>0.34168843529898374</v>
      </c>
      <c r="S132" s="15"/>
      <c r="T132" s="30">
        <f>SUM(T129:T131)</f>
        <v>338486.95118709235</v>
      </c>
      <c r="U132" s="15"/>
      <c r="V132" s="33">
        <f>IF(T$12=0,0,T132/T$12)</f>
        <v>0.11421016532840227</v>
      </c>
      <c r="W132" s="16"/>
      <c r="X132" s="30">
        <f>+P132-T132</f>
        <v>1308391.5388129065</v>
      </c>
      <c r="Y132" s="16"/>
      <c r="Z132" s="33">
        <f>IF(T132=0,0,X132/T132)</f>
        <v>3.8654120468287045</v>
      </c>
    </row>
    <row r="133" spans="1:26" ht="15" customHeight="1" x14ac:dyDescent="0.25">
      <c r="A133" s="10"/>
      <c r="C133" s="10"/>
      <c r="D133" s="18"/>
      <c r="E133" s="18"/>
      <c r="G133" s="18"/>
      <c r="H133" s="18"/>
      <c r="I133" s="18"/>
      <c r="J133" s="40"/>
      <c r="K133" s="18"/>
      <c r="L133" s="18"/>
      <c r="M133" s="18"/>
      <c r="P133" s="18"/>
      <c r="Q133" s="18"/>
      <c r="R133" s="40"/>
      <c r="S133" s="18"/>
      <c r="T133" s="18"/>
      <c r="U133" s="18"/>
      <c r="V133" s="40"/>
      <c r="W133" s="18"/>
      <c r="X133" s="18"/>
    </row>
    <row r="134" spans="1:26" ht="15" customHeight="1" x14ac:dyDescent="0.25">
      <c r="A134" s="10"/>
      <c r="B134" s="54">
        <v>44727.874478587961</v>
      </c>
      <c r="D134" s="18"/>
      <c r="E134" s="18"/>
      <c r="G134" s="18"/>
      <c r="H134" s="18"/>
      <c r="I134" s="18"/>
      <c r="J134" s="40"/>
      <c r="K134" s="18"/>
      <c r="L134" s="18"/>
      <c r="M134" s="18"/>
      <c r="P134" s="18"/>
      <c r="Q134" s="18"/>
      <c r="R134" s="40"/>
      <c r="S134" s="18"/>
      <c r="T134" s="18"/>
      <c r="U134" s="18"/>
      <c r="V134" s="40"/>
      <c r="W134" s="18"/>
      <c r="X134" s="18"/>
    </row>
    <row r="135" spans="1:26" ht="15" customHeight="1" x14ac:dyDescent="0.25">
      <c r="A135" s="10"/>
      <c r="B135" s="50" t="s">
        <v>298</v>
      </c>
      <c r="D135" s="18"/>
      <c r="E135" s="18"/>
      <c r="G135" s="18"/>
      <c r="H135" s="18"/>
      <c r="I135" s="18"/>
      <c r="J135" s="40"/>
      <c r="K135" s="18"/>
      <c r="L135" s="18"/>
      <c r="M135" s="18"/>
      <c r="P135" s="18"/>
      <c r="Q135" s="18"/>
      <c r="R135" s="40"/>
      <c r="S135" s="18"/>
      <c r="T135" s="18"/>
      <c r="U135" s="18"/>
      <c r="V135" s="40"/>
      <c r="W135" s="18"/>
      <c r="X135" s="18"/>
    </row>
    <row r="136" spans="1:26" ht="15" customHeight="1" x14ac:dyDescent="0.25">
      <c r="A136" s="10"/>
      <c r="B136" s="58"/>
      <c r="D136" s="18"/>
      <c r="E136" s="18"/>
      <c r="G136" s="18"/>
      <c r="H136" s="18"/>
      <c r="I136" s="18"/>
      <c r="J136" s="40"/>
      <c r="K136" s="18"/>
      <c r="L136" s="18"/>
      <c r="M136" s="18"/>
      <c r="P136" s="18"/>
      <c r="Q136" s="18"/>
      <c r="R136" s="40"/>
      <c r="S136" s="18"/>
      <c r="T136" s="18"/>
      <c r="U136" s="18"/>
      <c r="V136" s="40"/>
      <c r="W136" s="18"/>
      <c r="X136" s="18"/>
    </row>
    <row r="137" spans="1:26" ht="15" customHeight="1" x14ac:dyDescent="0.25">
      <c r="D137" s="18"/>
      <c r="E137" s="18"/>
      <c r="G137" s="18"/>
      <c r="H137" s="18"/>
      <c r="I137" s="18"/>
      <c r="J137" s="40"/>
      <c r="K137" s="18"/>
      <c r="L137" s="18"/>
      <c r="M137" s="18"/>
      <c r="P137" s="18"/>
      <c r="Q137" s="18"/>
      <c r="R137" s="40"/>
      <c r="S137" s="18"/>
      <c r="T137" s="18"/>
      <c r="U137" s="18"/>
      <c r="V137" s="40"/>
      <c r="W137" s="18"/>
      <c r="X13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516ED-E046-4CC3-479C-DCE3D16CA7DD}">
  <sheetPr>
    <tabColor rgb="FF92D050"/>
    <outlinePr summaryBelow="0" summaryRight="0"/>
  </sheetPr>
  <dimension ref="A2:Z12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","315"," - ","Bookstore Retail")</f>
        <v>Department 315 - Bookstore Retail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740410.7</v>
      </c>
      <c r="E12" s="5"/>
      <c r="F12" s="13"/>
      <c r="G12" s="5"/>
      <c r="H12" s="5">
        <f>SUM(OSRRefH13x_0)</f>
        <v>201585</v>
      </c>
      <c r="I12" s="5"/>
      <c r="J12" s="13"/>
      <c r="K12" s="5"/>
      <c r="L12" s="5">
        <f t="shared" ref="L12:L17" si="0">+D12-H12</f>
        <v>538825.69999999995</v>
      </c>
      <c r="M12" s="5"/>
      <c r="N12" s="13">
        <f t="shared" ref="N12:N17" si="1">IF(H12=0,0,L12/H12)</f>
        <v>2.6729454076444177</v>
      </c>
      <c r="O12" s="11"/>
      <c r="P12" s="5">
        <f>SUM(OSRRefP13x_0)</f>
        <v>4441734.8399999989</v>
      </c>
      <c r="Q12" s="5"/>
      <c r="R12" s="13"/>
      <c r="S12" s="5"/>
      <c r="T12" s="5">
        <f>SUM(OSRRefT13x_0)</f>
        <v>2597669</v>
      </c>
      <c r="U12" s="5"/>
      <c r="V12" s="13"/>
      <c r="W12" s="5"/>
      <c r="X12" s="5">
        <f t="shared" ref="X12:X17" si="2">+P12-T12</f>
        <v>1844065.8399999989</v>
      </c>
      <c r="Y12" s="5"/>
      <c r="Z12" s="13">
        <f t="shared" ref="Z12:Z17" si="3">IF(T12=0,0,X12/T12)</f>
        <v>0.70989253827181176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--743353.04</f>
        <v>743353.04</v>
      </c>
      <c r="E13" s="3"/>
      <c r="F13" s="20"/>
      <c r="G13" s="3"/>
      <c r="H13" s="3">
        <v>201585</v>
      </c>
      <c r="I13" s="3"/>
      <c r="J13" s="20"/>
      <c r="K13" s="3"/>
      <c r="L13" s="3">
        <f t="shared" si="0"/>
        <v>541768.04</v>
      </c>
      <c r="M13" s="3"/>
      <c r="N13" s="20">
        <f t="shared" si="1"/>
        <v>2.6875414341344843</v>
      </c>
      <c r="O13" s="12"/>
      <c r="P13" s="3">
        <f>--4140762.88</f>
        <v>4140762.88</v>
      </c>
      <c r="Q13" s="3"/>
      <c r="R13" s="20"/>
      <c r="S13" s="3"/>
      <c r="T13" s="3">
        <v>2597669</v>
      </c>
      <c r="U13" s="3"/>
      <c r="V13" s="20"/>
      <c r="W13" s="3"/>
      <c r="X13" s="3">
        <f t="shared" si="2"/>
        <v>1543093.88</v>
      </c>
      <c r="Y13" s="3"/>
      <c r="Z13" s="20">
        <f t="shared" si="3"/>
        <v>0.59403021709078407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--53274.33</f>
        <v>53274.33</v>
      </c>
      <c r="E14" s="3"/>
      <c r="F14" s="20"/>
      <c r="G14" s="3"/>
      <c r="H14" s="3"/>
      <c r="I14" s="3"/>
      <c r="J14" s="20"/>
      <c r="K14" s="3"/>
      <c r="L14" s="3">
        <f t="shared" si="0"/>
        <v>53274.33</v>
      </c>
      <c r="M14" s="3"/>
      <c r="N14" s="20">
        <f t="shared" si="1"/>
        <v>0</v>
      </c>
      <c r="O14" s="12"/>
      <c r="P14" s="3">
        <f>--551817.59</f>
        <v>551817.59</v>
      </c>
      <c r="Q14" s="3"/>
      <c r="R14" s="20"/>
      <c r="S14" s="3"/>
      <c r="T14" s="3"/>
      <c r="U14" s="3"/>
      <c r="V14" s="20"/>
      <c r="W14" s="3"/>
      <c r="X14" s="3">
        <f t="shared" si="2"/>
        <v>551817.59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-36133.85</f>
        <v>-36133.85</v>
      </c>
      <c r="E15" s="3"/>
      <c r="F15" s="20"/>
      <c r="G15" s="3"/>
      <c r="H15" s="3"/>
      <c r="I15" s="3"/>
      <c r="J15" s="20"/>
      <c r="K15" s="3"/>
      <c r="L15" s="3">
        <f t="shared" si="0"/>
        <v>-36133.85</v>
      </c>
      <c r="M15" s="3"/>
      <c r="N15" s="20">
        <f t="shared" si="1"/>
        <v>0</v>
      </c>
      <c r="O15" s="12"/>
      <c r="P15" s="3">
        <f>-137466.4</f>
        <v>-137466.4</v>
      </c>
      <c r="Q15" s="3"/>
      <c r="R15" s="20"/>
      <c r="S15" s="3"/>
      <c r="T15" s="3"/>
      <c r="U15" s="3"/>
      <c r="V15" s="20"/>
      <c r="W15" s="3"/>
      <c r="X15" s="3">
        <f t="shared" si="2"/>
        <v>-137466.4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-346.55</f>
        <v>-346.55</v>
      </c>
      <c r="E16" s="3"/>
      <c r="F16" s="20"/>
      <c r="G16" s="3"/>
      <c r="H16" s="3"/>
      <c r="I16" s="3"/>
      <c r="J16" s="20"/>
      <c r="K16" s="3"/>
      <c r="L16" s="3">
        <f t="shared" si="0"/>
        <v>-346.55</v>
      </c>
      <c r="M16" s="3"/>
      <c r="N16" s="20">
        <f t="shared" si="1"/>
        <v>0</v>
      </c>
      <c r="O16" s="12"/>
      <c r="P16" s="3">
        <f>-3496.69</f>
        <v>-3496.69</v>
      </c>
      <c r="Q16" s="3"/>
      <c r="R16" s="20"/>
      <c r="S16" s="3"/>
      <c r="T16" s="3"/>
      <c r="U16" s="3"/>
      <c r="V16" s="20"/>
      <c r="W16" s="3"/>
      <c r="X16" s="3">
        <f t="shared" si="2"/>
        <v>-3496.69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-19736.27</f>
        <v>-19736.27</v>
      </c>
      <c r="E17" s="3"/>
      <c r="F17" s="20"/>
      <c r="G17" s="3"/>
      <c r="H17" s="3"/>
      <c r="I17" s="3"/>
      <c r="J17" s="20"/>
      <c r="K17" s="3"/>
      <c r="L17" s="3">
        <f t="shared" si="0"/>
        <v>-19736.27</v>
      </c>
      <c r="M17" s="3"/>
      <c r="N17" s="20">
        <f t="shared" si="1"/>
        <v>0</v>
      </c>
      <c r="O17" s="12"/>
      <c r="P17" s="3">
        <f>-109882.54</f>
        <v>-109882.54</v>
      </c>
      <c r="Q17" s="3"/>
      <c r="R17" s="20"/>
      <c r="S17" s="3"/>
      <c r="T17" s="3"/>
      <c r="U17" s="3"/>
      <c r="V17" s="20"/>
      <c r="W17" s="3"/>
      <c r="X17" s="3">
        <f t="shared" si="2"/>
        <v>-109882.54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323901.81</v>
      </c>
      <c r="E19" s="5"/>
      <c r="F19" s="13">
        <f t="shared" ref="F19:F38" si="4">IF(D$12=0,0,D19/D$12)</f>
        <v>0.43746235704049119</v>
      </c>
      <c r="G19" s="5"/>
      <c r="H19" s="5">
        <f>SUM(OSRRefH16x_0)</f>
        <v>103318</v>
      </c>
      <c r="I19" s="5"/>
      <c r="J19" s="13">
        <f t="shared" ref="J19:J38" si="5">IF(H$12=0,0,H19/H$12)</f>
        <v>0.51252821390480441</v>
      </c>
      <c r="K19" s="5"/>
      <c r="L19" s="5">
        <f t="shared" ref="L19:L38" si="6">+D19-H19</f>
        <v>220583.81</v>
      </c>
      <c r="M19" s="5"/>
      <c r="N19" s="13">
        <f t="shared" ref="N19:N38" si="7">IF(H19=0,0,L19/H19)</f>
        <v>2.1349988385373315</v>
      </c>
      <c r="O19" s="11"/>
      <c r="P19" s="5">
        <f>SUM(OSRRefP16x_0)</f>
        <v>2061734.8700000003</v>
      </c>
      <c r="Q19" s="5"/>
      <c r="R19" s="13">
        <f t="shared" ref="R19:R38" si="8">IF(P$12=0,0,P19/P$12)</f>
        <v>0.46417333412905865</v>
      </c>
      <c r="S19" s="5"/>
      <c r="T19" s="5">
        <f>SUM(OSRRefT16x_0)</f>
        <v>1334691</v>
      </c>
      <c r="U19" s="5"/>
      <c r="V19" s="13">
        <f t="shared" ref="V19:V38" si="9">IF(T$12=0,0,T19/T$12)</f>
        <v>0.51380333676076517</v>
      </c>
      <c r="W19" s="5"/>
      <c r="X19" s="5">
        <f t="shared" ref="X19:X38" si="10">+P19-T19</f>
        <v>727043.87000000034</v>
      </c>
      <c r="Y19" s="5"/>
      <c r="Z19" s="13">
        <f t="shared" ref="Z19:Z38" si="11">IF(T19=0,0,X19/T19)</f>
        <v>0.54472823297677164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244456.86</v>
      </c>
      <c r="E20" s="3"/>
      <c r="F20" s="20">
        <f t="shared" si="4"/>
        <v>0.33016386716183327</v>
      </c>
      <c r="G20" s="3"/>
      <c r="H20" s="3">
        <v>103318</v>
      </c>
      <c r="I20" s="3"/>
      <c r="J20" s="20">
        <f t="shared" si="5"/>
        <v>0.51252821390480441</v>
      </c>
      <c r="K20" s="3"/>
      <c r="L20" s="3">
        <f t="shared" si="6"/>
        <v>141138.85999999999</v>
      </c>
      <c r="M20" s="3"/>
      <c r="N20" s="20">
        <f t="shared" si="7"/>
        <v>1.3660626415532626</v>
      </c>
      <c r="O20" s="12"/>
      <c r="P20" s="3">
        <v>2350434.1</v>
      </c>
      <c r="Q20" s="3"/>
      <c r="R20" s="20">
        <f t="shared" si="8"/>
        <v>0.5291702869863345</v>
      </c>
      <c r="S20" s="3"/>
      <c r="T20" s="3">
        <v>1334691</v>
      </c>
      <c r="U20" s="3"/>
      <c r="V20" s="20">
        <f t="shared" si="9"/>
        <v>0.51380333676076517</v>
      </c>
      <c r="W20" s="3"/>
      <c r="X20" s="3">
        <f t="shared" si="10"/>
        <v>1015743.1000000001</v>
      </c>
      <c r="Y20" s="3"/>
      <c r="Z20" s="20">
        <f t="shared" si="11"/>
        <v>0.76103240375487669</v>
      </c>
    </row>
    <row r="21" spans="1:26" s="70" customFormat="1" ht="15" hidden="1" customHeight="1" outlineLevel="1" x14ac:dyDescent="0.25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25">
      <c r="A30" s="42"/>
      <c r="B30" s="12" t="str">
        <f>CONCATENATE("          ","5200"," - ","PURCHASES OFFSET")</f>
        <v xml:space="preserve">          5200 - PURCHASES OFFSET</v>
      </c>
      <c r="C30" s="12"/>
      <c r="D30" s="3">
        <v>-254284.05</v>
      </c>
      <c r="E30" s="3"/>
      <c r="F30" s="20">
        <f t="shared" si="4"/>
        <v>-0.34343648734411863</v>
      </c>
      <c r="G30" s="3"/>
      <c r="H30" s="3"/>
      <c r="I30" s="3"/>
      <c r="J30" s="20">
        <f t="shared" si="5"/>
        <v>0</v>
      </c>
      <c r="K30" s="3"/>
      <c r="L30" s="3">
        <f t="shared" si="6"/>
        <v>-254284.05</v>
      </c>
      <c r="M30" s="3"/>
      <c r="N30" s="20">
        <f t="shared" si="7"/>
        <v>0</v>
      </c>
      <c r="O30" s="12"/>
      <c r="P30" s="3">
        <v>-2466012.88</v>
      </c>
      <c r="Q30" s="3"/>
      <c r="R30" s="20">
        <f t="shared" si="8"/>
        <v>-0.55519137652980666</v>
      </c>
      <c r="S30" s="3"/>
      <c r="T30" s="3"/>
      <c r="U30" s="3"/>
      <c r="V30" s="20">
        <f t="shared" si="9"/>
        <v>0</v>
      </c>
      <c r="W30" s="3"/>
      <c r="X30" s="3">
        <f t="shared" si="10"/>
        <v>-2466012.88</v>
      </c>
      <c r="Y30" s="3"/>
      <c r="Z30" s="20">
        <f t="shared" si="11"/>
        <v>0</v>
      </c>
    </row>
    <row r="31" spans="1:26" s="70" customFormat="1" ht="15" hidden="1" customHeight="1" outlineLevel="1" x14ac:dyDescent="0.25">
      <c r="A31" s="42"/>
      <c r="B31" s="12" t="str">
        <f>CONCATENATE("          ","5300"," - ","COG$ OFFSET")</f>
        <v xml:space="preserve">          5300 - COG$ OFFSET</v>
      </c>
      <c r="C31" s="12"/>
      <c r="D31" s="3">
        <v>323901.81</v>
      </c>
      <c r="E31" s="3"/>
      <c r="F31" s="20">
        <f t="shared" si="4"/>
        <v>0.43746235704049119</v>
      </c>
      <c r="G31" s="3"/>
      <c r="H31" s="3"/>
      <c r="I31" s="3"/>
      <c r="J31" s="20">
        <f t="shared" si="5"/>
        <v>0</v>
      </c>
      <c r="K31" s="3"/>
      <c r="L31" s="3">
        <f t="shared" si="6"/>
        <v>323901.81</v>
      </c>
      <c r="M31" s="3"/>
      <c r="N31" s="20">
        <f t="shared" si="7"/>
        <v>0</v>
      </c>
      <c r="O31" s="12"/>
      <c r="P31" s="3">
        <v>2064734.87</v>
      </c>
      <c r="Q31" s="3"/>
      <c r="R31" s="20">
        <f t="shared" si="8"/>
        <v>0.46484874590127506</v>
      </c>
      <c r="S31" s="3"/>
      <c r="T31" s="3"/>
      <c r="U31" s="3"/>
      <c r="V31" s="20">
        <f t="shared" si="9"/>
        <v>0</v>
      </c>
      <c r="W31" s="3"/>
      <c r="X31" s="3">
        <f t="shared" si="10"/>
        <v>2064734.87</v>
      </c>
      <c r="Y31" s="3"/>
      <c r="Z31" s="20">
        <f t="shared" si="11"/>
        <v>0</v>
      </c>
    </row>
    <row r="32" spans="1:26" s="70" customFormat="1" ht="15" hidden="1" customHeight="1" outlineLevel="1" x14ac:dyDescent="0.25">
      <c r="A32" s="42"/>
      <c r="B32" s="12" t="str">
        <f>CONCATENATE("          ","5500"," - ","FREIGHT-IN")</f>
        <v xml:space="preserve">          5500 - FREIGHT-IN</v>
      </c>
      <c r="C32" s="12"/>
      <c r="D32" s="3">
        <v>9827.19</v>
      </c>
      <c r="E32" s="3"/>
      <c r="F32" s="20">
        <f t="shared" si="4"/>
        <v>1.3272620182285319E-2</v>
      </c>
      <c r="G32" s="3"/>
      <c r="H32" s="3"/>
      <c r="I32" s="3"/>
      <c r="J32" s="20">
        <f t="shared" si="5"/>
        <v>0</v>
      </c>
      <c r="K32" s="3"/>
      <c r="L32" s="3">
        <f t="shared" si="6"/>
        <v>9827.19</v>
      </c>
      <c r="M32" s="3"/>
      <c r="N32" s="20">
        <f t="shared" si="7"/>
        <v>0</v>
      </c>
      <c r="O32" s="12"/>
      <c r="P32" s="3">
        <v>112578.78</v>
      </c>
      <c r="Q32" s="3"/>
      <c r="R32" s="20">
        <f t="shared" si="8"/>
        <v>2.5345677771255709E-2</v>
      </c>
      <c r="S32" s="3"/>
      <c r="T32" s="3"/>
      <c r="U32" s="3"/>
      <c r="V32" s="20">
        <f t="shared" si="9"/>
        <v>0</v>
      </c>
      <c r="W32" s="3"/>
      <c r="X32" s="3">
        <f t="shared" si="10"/>
        <v>112578.78</v>
      </c>
      <c r="Y32" s="3"/>
      <c r="Z32" s="20">
        <f t="shared" si="11"/>
        <v>0</v>
      </c>
    </row>
    <row r="33" spans="1:26" s="70" customFormat="1" ht="15" hidden="1" customHeight="1" outlineLevel="1" x14ac:dyDescent="0.25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25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25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25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25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25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25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25">
      <c r="A40" s="11"/>
      <c r="B40" s="28" t="s">
        <v>289</v>
      </c>
      <c r="C40" s="28"/>
      <c r="D40" s="22">
        <f>D12-D19</f>
        <v>416508.88999999996</v>
      </c>
      <c r="E40" s="15"/>
      <c r="F40" s="21">
        <f>IF(D$12=0,0,D40/D$12)</f>
        <v>0.56253764295950881</v>
      </c>
      <c r="G40" s="15"/>
      <c r="H40" s="22">
        <f>H12-H19</f>
        <v>98267</v>
      </c>
      <c r="I40" s="15"/>
      <c r="J40" s="21">
        <f>IF(H$12=0,0,H40/H$12)</f>
        <v>0.48747178609519559</v>
      </c>
      <c r="K40" s="16"/>
      <c r="L40" s="22">
        <f>+D40-H40</f>
        <v>318241.88999999996</v>
      </c>
      <c r="M40" s="16"/>
      <c r="N40" s="21">
        <f>IF(H40=0,0,L40/H40)</f>
        <v>3.2385428475480067</v>
      </c>
      <c r="O40" s="27"/>
      <c r="P40" s="22">
        <f>P12-P19</f>
        <v>2379999.9699999988</v>
      </c>
      <c r="Q40" s="15"/>
      <c r="R40" s="21">
        <f>IF(P$12=0,0,P40/P$12)</f>
        <v>0.53582666587094141</v>
      </c>
      <c r="S40" s="15"/>
      <c r="T40" s="22">
        <f>T12-T19</f>
        <v>1262978</v>
      </c>
      <c r="U40" s="15"/>
      <c r="V40" s="21">
        <f>IF(T$12=0,0,T40/T$12)</f>
        <v>0.48619666323923488</v>
      </c>
      <c r="W40" s="16"/>
      <c r="X40" s="22">
        <f>+P40-T40</f>
        <v>1117021.9699999988</v>
      </c>
      <c r="Y40" s="16"/>
      <c r="Z40" s="21">
        <f>IF(T40=0,0,X40/T40)</f>
        <v>0.88443501787046075</v>
      </c>
    </row>
    <row r="41" spans="1:26" ht="15" customHeight="1" x14ac:dyDescent="0.25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25">
      <c r="A42" s="11"/>
      <c r="B42" s="27" t="s">
        <v>290</v>
      </c>
      <c r="C42" s="11"/>
      <c r="D42" s="23" cm="1">
        <f t="array" ref="D42">SUM(OSRRefD22x_0)</f>
        <v>90715.440000000017</v>
      </c>
      <c r="E42" s="23"/>
      <c r="F42" s="31">
        <f t="shared" ref="F42:F73" si="12">IF(D$12=0,0,D42/D$12)</f>
        <v>0.12252043359178902</v>
      </c>
      <c r="G42" s="23"/>
      <c r="H42" s="23" cm="1">
        <f t="array" ref="H42">SUM(OSRRefH22x_0)</f>
        <v>80344.075597923074</v>
      </c>
      <c r="I42" s="23"/>
      <c r="J42" s="31">
        <f t="shared" ref="J42:J73" si="13">IF(H$12=0,0,H42/H$12)</f>
        <v>0.39856177591548514</v>
      </c>
      <c r="K42" s="5"/>
      <c r="L42" s="23">
        <f t="shared" ref="L42:L73" si="14">+D42-H42</f>
        <v>10371.364402076942</v>
      </c>
      <c r="M42" s="5"/>
      <c r="N42" s="31">
        <f t="shared" ref="N42:N73" si="15">IF(H42=0,0,L42/H42)</f>
        <v>0.12908685954618224</v>
      </c>
      <c r="O42" s="11"/>
      <c r="P42" s="23" cm="1">
        <f t="array" ref="P42">SUM(OSRRefP22x_0)</f>
        <v>953911.35000000021</v>
      </c>
      <c r="Q42" s="23"/>
      <c r="R42" s="31">
        <f t="shared" ref="R42:R73" si="16">IF(P$12=0,0,P42/P$12)</f>
        <v>0.21476098514696579</v>
      </c>
      <c r="S42" s="23"/>
      <c r="T42" s="23" cm="1">
        <f t="array" ref="T42">SUM(OSRRefT22x_0)</f>
        <v>956784.05585107696</v>
      </c>
      <c r="U42" s="23"/>
      <c r="V42" s="31">
        <f t="shared" ref="V42:V73" si="17">IF(T$12=0,0,T42/T$12)</f>
        <v>0.36832408434295399</v>
      </c>
      <c r="W42" s="5"/>
      <c r="X42" s="23">
        <f t="shared" ref="X42:X73" si="18">+P42-T42</f>
        <v>-2872.7058510767529</v>
      </c>
      <c r="Y42" s="5"/>
      <c r="Z42" s="31">
        <f t="shared" ref="Z42:Z73" si="19">IF(T42=0,0,X42/T42)</f>
        <v>-3.0024599945088219E-3</v>
      </c>
    </row>
    <row r="43" spans="1:26" s="69" customFormat="1" ht="15" customHeight="1" outlineLevel="1" collapsed="1" x14ac:dyDescent="0.25">
      <c r="A43" s="26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12133.95</v>
      </c>
      <c r="E43" s="2"/>
      <c r="F43" s="6">
        <f t="shared" si="12"/>
        <v>1.6388134315184804E-2</v>
      </c>
      <c r="G43" s="2"/>
      <c r="H43" s="2">
        <f>SUM(OSRRefH22_0x_0)</f>
        <v>17751.285597923081</v>
      </c>
      <c r="I43" s="2"/>
      <c r="J43" s="6">
        <f t="shared" si="13"/>
        <v>8.8058563870938217E-2</v>
      </c>
      <c r="K43" s="2"/>
      <c r="L43" s="2">
        <f t="shared" si="14"/>
        <v>-5617.3355979230801</v>
      </c>
      <c r="M43" s="2"/>
      <c r="N43" s="6">
        <f t="shared" si="15"/>
        <v>-0.31644669153316501</v>
      </c>
      <c r="O43" s="14"/>
      <c r="P43" s="2">
        <f>SUM(OSRRefP22_0x_0)</f>
        <v>145399.01999999999</v>
      </c>
      <c r="Q43" s="2"/>
      <c r="R43" s="6">
        <f t="shared" si="16"/>
        <v>3.2734736592245572E-2</v>
      </c>
      <c r="S43" s="2"/>
      <c r="T43" s="2">
        <f>SUM(OSRRefT22_0x_0)</f>
        <v>201102.33585107702</v>
      </c>
      <c r="U43" s="2"/>
      <c r="V43" s="6">
        <f t="shared" si="17"/>
        <v>7.7416459083538752E-2</v>
      </c>
      <c r="W43" s="2"/>
      <c r="X43" s="2">
        <f t="shared" si="18"/>
        <v>-55703.31585107703</v>
      </c>
      <c r="Y43" s="2"/>
      <c r="Z43" s="6">
        <f t="shared" si="19"/>
        <v>-0.27698989977086685</v>
      </c>
    </row>
    <row r="44" spans="1:26" s="70" customFormat="1" ht="15" hidden="1" customHeight="1" outlineLevel="2" x14ac:dyDescent="0.25">
      <c r="A44" s="25"/>
      <c r="B44" s="12" t="str">
        <f>CONCATENATE("          ","6111"," - ","F.I.C.A.")</f>
        <v xml:space="preserve">          6111 - F.I.C.A.</v>
      </c>
      <c r="C44" s="12"/>
      <c r="D44" s="8">
        <v>3273.32</v>
      </c>
      <c r="E44" s="3"/>
      <c r="F44" s="7">
        <f t="shared" si="12"/>
        <v>4.4209517771690767E-3</v>
      </c>
      <c r="G44" s="3"/>
      <c r="H44" s="8">
        <v>4436.6507309999997</v>
      </c>
      <c r="I44" s="3"/>
      <c r="J44" s="7">
        <f t="shared" si="13"/>
        <v>2.2008833648336928E-2</v>
      </c>
      <c r="K44" s="3"/>
      <c r="L44" s="8">
        <f t="shared" si="14"/>
        <v>-1163.3307309999996</v>
      </c>
      <c r="M44" s="3"/>
      <c r="N44" s="7">
        <f t="shared" si="15"/>
        <v>-0.26220922076906206</v>
      </c>
      <c r="O44" s="12"/>
      <c r="P44" s="8">
        <v>27690.78</v>
      </c>
      <c r="Q44" s="3"/>
      <c r="R44" s="7">
        <f t="shared" si="16"/>
        <v>6.2342262646187148E-3</v>
      </c>
      <c r="S44" s="3"/>
      <c r="T44" s="8">
        <v>47325.662208000002</v>
      </c>
      <c r="U44" s="3"/>
      <c r="V44" s="7">
        <f t="shared" si="17"/>
        <v>1.8218511368461494E-2</v>
      </c>
      <c r="W44" s="3"/>
      <c r="X44" s="8">
        <f t="shared" si="18"/>
        <v>-19634.882208000003</v>
      </c>
      <c r="Y44" s="3"/>
      <c r="Z44" s="7">
        <f t="shared" si="19"/>
        <v>-0.41488869446143517</v>
      </c>
    </row>
    <row r="45" spans="1:26" s="70" customFormat="1" ht="15" hidden="1" customHeight="1" outlineLevel="2" x14ac:dyDescent="0.25">
      <c r="A45" s="25"/>
      <c r="B45" s="12" t="str">
        <f>CONCATENATE("          ","6112"," - ","COMPENSATION INSURANCE")</f>
        <v xml:space="preserve">          6112 - COMPENSATION INSURANCE</v>
      </c>
      <c r="C45" s="12"/>
      <c r="D45" s="8">
        <v>1399.78</v>
      </c>
      <c r="E45" s="3"/>
      <c r="F45" s="7">
        <f t="shared" si="12"/>
        <v>1.8905453419298236E-3</v>
      </c>
      <c r="G45" s="3"/>
      <c r="H45" s="8">
        <v>904.37411999999995</v>
      </c>
      <c r="I45" s="3"/>
      <c r="J45" s="7">
        <f t="shared" si="13"/>
        <v>4.4863165414093312E-3</v>
      </c>
      <c r="K45" s="3"/>
      <c r="L45" s="8">
        <f t="shared" si="14"/>
        <v>495.40588000000002</v>
      </c>
      <c r="M45" s="3"/>
      <c r="N45" s="7">
        <f t="shared" si="15"/>
        <v>0.54778865189110015</v>
      </c>
      <c r="O45" s="12"/>
      <c r="P45" s="8">
        <v>10347.94</v>
      </c>
      <c r="Q45" s="3"/>
      <c r="R45" s="7">
        <f t="shared" si="16"/>
        <v>2.3297068313965366E-3</v>
      </c>
      <c r="S45" s="3"/>
      <c r="T45" s="8">
        <v>10615.70016</v>
      </c>
      <c r="U45" s="3"/>
      <c r="V45" s="7">
        <f t="shared" si="17"/>
        <v>4.0866254168641196E-3</v>
      </c>
      <c r="W45" s="3"/>
      <c r="X45" s="8">
        <f t="shared" si="18"/>
        <v>-267.76015999999981</v>
      </c>
      <c r="Y45" s="3"/>
      <c r="Z45" s="7">
        <f t="shared" si="19"/>
        <v>-2.5223033428253855E-2</v>
      </c>
    </row>
    <row r="46" spans="1:26" s="70" customFormat="1" ht="15" hidden="1" customHeight="1" outlineLevel="2" x14ac:dyDescent="0.25">
      <c r="A46" s="25"/>
      <c r="B46" s="12" t="str">
        <f>CONCATENATE("          ","6113"," - ","GROUP INSURANCE")</f>
        <v xml:space="preserve">          6113 - GROUP INSURANCE</v>
      </c>
      <c r="C46" s="12"/>
      <c r="D46" s="8">
        <v>3347.46</v>
      </c>
      <c r="E46" s="3"/>
      <c r="F46" s="7">
        <f t="shared" si="12"/>
        <v>4.5210853922019231E-3</v>
      </c>
      <c r="G46" s="3"/>
      <c r="H46" s="8">
        <v>6784.4230769230799</v>
      </c>
      <c r="I46" s="3"/>
      <c r="J46" s="7">
        <f t="shared" si="13"/>
        <v>3.365539636839586E-2</v>
      </c>
      <c r="K46" s="3"/>
      <c r="L46" s="8">
        <f t="shared" si="14"/>
        <v>-3436.9630769230798</v>
      </c>
      <c r="M46" s="3"/>
      <c r="N46" s="7">
        <f t="shared" si="15"/>
        <v>-0.50659621871368254</v>
      </c>
      <c r="O46" s="12"/>
      <c r="P46" s="8">
        <v>44218.3</v>
      </c>
      <c r="Q46" s="3"/>
      <c r="R46" s="7">
        <f t="shared" si="16"/>
        <v>9.9551867891330519E-3</v>
      </c>
      <c r="S46" s="3"/>
      <c r="T46" s="8">
        <v>77065.576923076995</v>
      </c>
      <c r="U46" s="3"/>
      <c r="V46" s="7">
        <f t="shared" si="17"/>
        <v>2.966720429857576E-2</v>
      </c>
      <c r="W46" s="3"/>
      <c r="X46" s="8">
        <f t="shared" si="18"/>
        <v>-32847.276923076992</v>
      </c>
      <c r="Y46" s="3"/>
      <c r="Z46" s="7">
        <f t="shared" si="19"/>
        <v>-0.42622501815387043</v>
      </c>
    </row>
    <row r="47" spans="1:26" s="70" customFormat="1" ht="15" hidden="1" customHeight="1" outlineLevel="2" x14ac:dyDescent="0.25">
      <c r="A47" s="25"/>
      <c r="B47" s="12" t="str">
        <f>CONCATENATE("          ","6114"," - ","STATE UNEMPLOYMENT INSURANCE")</f>
        <v xml:space="preserve">          6114 - STATE UNEMPLOYMENT INSURANCE</v>
      </c>
      <c r="C47" s="12"/>
      <c r="D47" s="8">
        <v>245.91</v>
      </c>
      <c r="E47" s="3"/>
      <c r="F47" s="7">
        <f t="shared" si="12"/>
        <v>3.3212648061407E-4</v>
      </c>
      <c r="G47" s="3"/>
      <c r="H47" s="8">
        <v>121.74267</v>
      </c>
      <c r="I47" s="3"/>
      <c r="J47" s="7">
        <f t="shared" si="13"/>
        <v>6.0392722672817918E-4</v>
      </c>
      <c r="K47" s="3"/>
      <c r="L47" s="8">
        <f t="shared" si="14"/>
        <v>124.16732999999999</v>
      </c>
      <c r="M47" s="3"/>
      <c r="N47" s="7">
        <f t="shared" si="15"/>
        <v>1.0199162709344225</v>
      </c>
      <c r="O47" s="12"/>
      <c r="P47" s="8">
        <v>1819.04</v>
      </c>
      <c r="Q47" s="3"/>
      <c r="R47" s="7">
        <f t="shared" si="16"/>
        <v>4.0953367671087734E-4</v>
      </c>
      <c r="S47" s="3"/>
      <c r="T47" s="8">
        <v>1429.03656</v>
      </c>
      <c r="U47" s="3"/>
      <c r="V47" s="7">
        <f t="shared" si="17"/>
        <v>5.5012265227016995E-4</v>
      </c>
      <c r="W47" s="3"/>
      <c r="X47" s="8">
        <f t="shared" si="18"/>
        <v>390.00343999999996</v>
      </c>
      <c r="Y47" s="3"/>
      <c r="Z47" s="7">
        <f t="shared" si="19"/>
        <v>0.27291354953158087</v>
      </c>
    </row>
    <row r="48" spans="1:26" s="70" customFormat="1" ht="15" hidden="1" customHeight="1" outlineLevel="2" x14ac:dyDescent="0.25">
      <c r="A48" s="25"/>
      <c r="B48" s="12" t="str">
        <f>CONCATENATE("          ","6115"," - ","P.E.R.S.")</f>
        <v xml:space="preserve">          6115 - P.E.R.S.</v>
      </c>
      <c r="C48" s="12"/>
      <c r="D48" s="8">
        <v>988.89</v>
      </c>
      <c r="E48" s="3"/>
      <c r="F48" s="7">
        <f t="shared" si="12"/>
        <v>1.335596581734975E-3</v>
      </c>
      <c r="G48" s="3"/>
      <c r="H48" s="8">
        <v>1207.2249999999999</v>
      </c>
      <c r="I48" s="3"/>
      <c r="J48" s="7">
        <f t="shared" si="13"/>
        <v>5.988664831212639E-3</v>
      </c>
      <c r="K48" s="3"/>
      <c r="L48" s="8">
        <f t="shared" si="14"/>
        <v>-218.33499999999992</v>
      </c>
      <c r="M48" s="3"/>
      <c r="N48" s="7">
        <f t="shared" si="15"/>
        <v>-0.18085692393712849</v>
      </c>
      <c r="O48" s="12"/>
      <c r="P48" s="8">
        <v>16145.61</v>
      </c>
      <c r="Q48" s="3"/>
      <c r="R48" s="7">
        <f t="shared" si="16"/>
        <v>3.6349783545386073E-3</v>
      </c>
      <c r="S48" s="3"/>
      <c r="T48" s="8">
        <v>14486.7</v>
      </c>
      <c r="U48" s="3"/>
      <c r="V48" s="7">
        <f t="shared" si="17"/>
        <v>5.5768075147372516E-3</v>
      </c>
      <c r="W48" s="3"/>
      <c r="X48" s="8">
        <f t="shared" si="18"/>
        <v>1658.9099999999999</v>
      </c>
      <c r="Y48" s="3"/>
      <c r="Z48" s="7">
        <f t="shared" si="19"/>
        <v>0.11451262192217687</v>
      </c>
    </row>
    <row r="49" spans="1:26" s="70" customFormat="1" ht="15" hidden="1" customHeight="1" outlineLevel="2" x14ac:dyDescent="0.25">
      <c r="A49" s="25"/>
      <c r="B49" s="12" t="str">
        <f>CONCATENATE("          ","6116"," - ","EDUCATIONAL BENEFITS")</f>
        <v xml:space="preserve">          6116 - EDUCATIONAL BENEFITS</v>
      </c>
      <c r="C49" s="12"/>
      <c r="D49" s="8"/>
      <c r="E49" s="3"/>
      <c r="F49" s="7">
        <f t="shared" si="12"/>
        <v>0</v>
      </c>
      <c r="G49" s="3"/>
      <c r="H49" s="8">
        <v>0</v>
      </c>
      <c r="I49" s="3"/>
      <c r="J49" s="7">
        <f t="shared" si="13"/>
        <v>0</v>
      </c>
      <c r="K49" s="3"/>
      <c r="L49" s="8">
        <f t="shared" si="14"/>
        <v>0</v>
      </c>
      <c r="M49" s="3"/>
      <c r="N49" s="7">
        <f t="shared" si="15"/>
        <v>0</v>
      </c>
      <c r="O49" s="12"/>
      <c r="P49" s="8"/>
      <c r="Q49" s="3"/>
      <c r="R49" s="7">
        <f t="shared" si="16"/>
        <v>0</v>
      </c>
      <c r="S49" s="3"/>
      <c r="T49" s="8">
        <v>0</v>
      </c>
      <c r="U49" s="3"/>
      <c r="V49" s="7">
        <f t="shared" si="17"/>
        <v>0</v>
      </c>
      <c r="W49" s="3"/>
      <c r="X49" s="8">
        <f t="shared" si="18"/>
        <v>0</v>
      </c>
      <c r="Y49" s="3"/>
      <c r="Z49" s="7">
        <f t="shared" si="19"/>
        <v>0</v>
      </c>
    </row>
    <row r="50" spans="1:26" s="70" customFormat="1" ht="15" hidden="1" customHeight="1" outlineLevel="2" x14ac:dyDescent="0.25">
      <c r="A50" s="25"/>
      <c r="B50" s="12" t="str">
        <f>CONCATENATE("          ","6118"," - ","VACATION")</f>
        <v xml:space="preserve">          6118 - VACATION</v>
      </c>
      <c r="C50" s="12"/>
      <c r="D50" s="8">
        <v>1172.3900000000001</v>
      </c>
      <c r="E50" s="3"/>
      <c r="F50" s="7">
        <f t="shared" si="12"/>
        <v>1.5834320060474547E-3</v>
      </c>
      <c r="G50" s="3"/>
      <c r="H50" s="8">
        <v>1113.875</v>
      </c>
      <c r="I50" s="3"/>
      <c r="J50" s="7">
        <f t="shared" si="13"/>
        <v>5.5255847409281444E-3</v>
      </c>
      <c r="K50" s="3"/>
      <c r="L50" s="8">
        <f t="shared" si="14"/>
        <v>58.5150000000001</v>
      </c>
      <c r="M50" s="3"/>
      <c r="N50" s="7">
        <f t="shared" si="15"/>
        <v>5.2532824598810549E-2</v>
      </c>
      <c r="O50" s="12"/>
      <c r="P50" s="8">
        <v>20076.55</v>
      </c>
      <c r="Q50" s="3"/>
      <c r="R50" s="7">
        <f t="shared" si="16"/>
        <v>4.5199794051641326E-3</v>
      </c>
      <c r="S50" s="3"/>
      <c r="T50" s="8">
        <v>13366.5</v>
      </c>
      <c r="U50" s="3"/>
      <c r="V50" s="7">
        <f t="shared" si="17"/>
        <v>5.145574744126369E-3</v>
      </c>
      <c r="W50" s="3"/>
      <c r="X50" s="8">
        <f t="shared" si="18"/>
        <v>6710.0499999999993</v>
      </c>
      <c r="Y50" s="3"/>
      <c r="Z50" s="7">
        <f t="shared" si="19"/>
        <v>0.50200501253132823</v>
      </c>
    </row>
    <row r="51" spans="1:26" s="70" customFormat="1" ht="15" hidden="1" customHeight="1" outlineLevel="2" x14ac:dyDescent="0.25">
      <c r="A51" s="25"/>
      <c r="B51" s="12" t="str">
        <f>CONCATENATE("          ","6119"," - ","SICK LEAVE")</f>
        <v xml:space="preserve">          6119 - SICK LEAVE</v>
      </c>
      <c r="C51" s="12"/>
      <c r="D51" s="8">
        <v>1084.74</v>
      </c>
      <c r="E51" s="3"/>
      <c r="F51" s="7">
        <f t="shared" si="12"/>
        <v>1.4650517611374337E-3</v>
      </c>
      <c r="G51" s="3"/>
      <c r="H51" s="8">
        <v>2307.9949999999999</v>
      </c>
      <c r="I51" s="3"/>
      <c r="J51" s="7">
        <f t="shared" si="13"/>
        <v>1.144923977478483E-2</v>
      </c>
      <c r="K51" s="3"/>
      <c r="L51" s="8">
        <f t="shared" si="14"/>
        <v>-1223.2549999999999</v>
      </c>
      <c r="M51" s="3"/>
      <c r="N51" s="7">
        <f t="shared" si="15"/>
        <v>-0.53000764733025851</v>
      </c>
      <c r="O51" s="12"/>
      <c r="P51" s="8">
        <v>17796.21</v>
      </c>
      <c r="Q51" s="3"/>
      <c r="R51" s="7">
        <f t="shared" si="16"/>
        <v>4.006589911612104E-3</v>
      </c>
      <c r="S51" s="3"/>
      <c r="T51" s="8">
        <v>27188.16</v>
      </c>
      <c r="U51" s="3"/>
      <c r="V51" s="7">
        <f t="shared" si="17"/>
        <v>1.0466368116954084E-2</v>
      </c>
      <c r="W51" s="3"/>
      <c r="X51" s="8">
        <f t="shared" si="18"/>
        <v>-9391.9500000000007</v>
      </c>
      <c r="Y51" s="3"/>
      <c r="Z51" s="7">
        <f t="shared" si="19"/>
        <v>-0.34544264856466933</v>
      </c>
    </row>
    <row r="52" spans="1:26" s="70" customFormat="1" ht="15" hidden="1" customHeight="1" outlineLevel="2" x14ac:dyDescent="0.25">
      <c r="A52" s="25"/>
      <c r="B52" s="12" t="str">
        <f>CONCATENATE("          ","6156"," - ","EMPLOYEE MEALS")</f>
        <v xml:space="preserve">          6156 - EMPLOYEE MEALS</v>
      </c>
      <c r="C52" s="12"/>
      <c r="D52" s="8">
        <v>621.46</v>
      </c>
      <c r="E52" s="3"/>
      <c r="F52" s="7">
        <f t="shared" si="12"/>
        <v>8.3934497435004661E-4</v>
      </c>
      <c r="G52" s="3"/>
      <c r="H52" s="8">
        <v>875</v>
      </c>
      <c r="I52" s="3"/>
      <c r="J52" s="7">
        <f t="shared" si="13"/>
        <v>4.3406007391422969E-3</v>
      </c>
      <c r="K52" s="3"/>
      <c r="L52" s="8">
        <f t="shared" si="14"/>
        <v>-253.53999999999996</v>
      </c>
      <c r="M52" s="3"/>
      <c r="N52" s="7">
        <f t="shared" si="15"/>
        <v>-0.28975999999999996</v>
      </c>
      <c r="O52" s="12"/>
      <c r="P52" s="8">
        <v>7304.59</v>
      </c>
      <c r="Q52" s="3"/>
      <c r="R52" s="7">
        <f t="shared" si="16"/>
        <v>1.6445353590715474E-3</v>
      </c>
      <c r="S52" s="3"/>
      <c r="T52" s="8">
        <v>9625</v>
      </c>
      <c r="U52" s="3"/>
      <c r="V52" s="7">
        <f t="shared" si="17"/>
        <v>3.7052449715494931E-3</v>
      </c>
      <c r="W52" s="3"/>
      <c r="X52" s="8">
        <f t="shared" si="18"/>
        <v>-2320.41</v>
      </c>
      <c r="Y52" s="3"/>
      <c r="Z52" s="7">
        <f t="shared" si="19"/>
        <v>-0.24108155844155843</v>
      </c>
    </row>
    <row r="53" spans="1:26" s="69" customFormat="1" ht="15" customHeight="1" outlineLevel="1" collapsed="1" x14ac:dyDescent="0.25">
      <c r="A53" s="26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68178.850000000006</v>
      </c>
      <c r="E53" s="2"/>
      <c r="F53" s="6">
        <f t="shared" si="12"/>
        <v>9.2082475307285555E-2</v>
      </c>
      <c r="G53" s="2"/>
      <c r="H53" s="2">
        <f>SUM(OSRRefH22_1x_0)</f>
        <v>55436.79</v>
      </c>
      <c r="I53" s="2"/>
      <c r="J53" s="6">
        <f t="shared" si="13"/>
        <v>0.27500453902820149</v>
      </c>
      <c r="K53" s="2"/>
      <c r="L53" s="2">
        <f t="shared" si="14"/>
        <v>12742.060000000005</v>
      </c>
      <c r="M53" s="2"/>
      <c r="N53" s="6">
        <f t="shared" si="15"/>
        <v>0.22984844540962787</v>
      </c>
      <c r="O53" s="14"/>
      <c r="P53" s="2">
        <f>SUM(OSRRefP22_1x_0)</f>
        <v>668597.35</v>
      </c>
      <c r="Q53" s="2"/>
      <c r="R53" s="6">
        <f t="shared" si="16"/>
        <v>0.15052617368757656</v>
      </c>
      <c r="S53" s="2"/>
      <c r="T53" s="2">
        <f>SUM(OSRRefT22_1x_0)</f>
        <v>650193.72</v>
      </c>
      <c r="U53" s="2"/>
      <c r="V53" s="6">
        <f t="shared" si="17"/>
        <v>0.25029891029226586</v>
      </c>
      <c r="W53" s="2"/>
      <c r="X53" s="2">
        <f t="shared" si="18"/>
        <v>18403.630000000005</v>
      </c>
      <c r="Y53" s="2"/>
      <c r="Z53" s="6">
        <f t="shared" si="19"/>
        <v>2.8304841209478317E-2</v>
      </c>
    </row>
    <row r="54" spans="1:26" s="70" customFormat="1" ht="15" hidden="1" customHeight="1" outlineLevel="2" x14ac:dyDescent="0.25">
      <c r="A54" s="25"/>
      <c r="B54" s="12" t="str">
        <f>CONCATENATE("          ","6001"," - ","ADMINISTRATIVE SALARIES")</f>
        <v xml:space="preserve">          6001 - ADMINISTRATIVE SALARIES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25">
      <c r="A55" s="25"/>
      <c r="B55" s="12" t="str">
        <f>CONCATENATE("          ","6002"," - ","STAFF SALARIES")</f>
        <v xml:space="preserve">          6002 - STAFF SALARIES</v>
      </c>
      <c r="C55" s="12"/>
      <c r="D55" s="8">
        <v>9083.6</v>
      </c>
      <c r="E55" s="3"/>
      <c r="F55" s="7">
        <f t="shared" si="12"/>
        <v>1.2268326214086318E-2</v>
      </c>
      <c r="G55" s="3"/>
      <c r="H55" s="8">
        <v>12633.75</v>
      </c>
      <c r="I55" s="3"/>
      <c r="J55" s="7">
        <f t="shared" si="13"/>
        <v>6.2672073815015994E-2</v>
      </c>
      <c r="K55" s="3"/>
      <c r="L55" s="8">
        <f t="shared" si="14"/>
        <v>-3550.1499999999996</v>
      </c>
      <c r="M55" s="3"/>
      <c r="N55" s="7">
        <f t="shared" si="15"/>
        <v>-0.28100524389037296</v>
      </c>
      <c r="O55" s="12"/>
      <c r="P55" s="8">
        <v>153820.47</v>
      </c>
      <c r="Q55" s="3"/>
      <c r="R55" s="7">
        <f t="shared" si="16"/>
        <v>3.4630718748623016E-2</v>
      </c>
      <c r="S55" s="3"/>
      <c r="T55" s="8">
        <v>151605</v>
      </c>
      <c r="U55" s="3"/>
      <c r="V55" s="7">
        <f t="shared" si="17"/>
        <v>5.8361939107715415E-2</v>
      </c>
      <c r="W55" s="3"/>
      <c r="X55" s="8">
        <f t="shared" si="18"/>
        <v>2215.4700000000012</v>
      </c>
      <c r="Y55" s="3"/>
      <c r="Z55" s="7">
        <f t="shared" si="19"/>
        <v>1.4613436232314245E-2</v>
      </c>
    </row>
    <row r="56" spans="1:26" s="70" customFormat="1" ht="15" hidden="1" customHeight="1" outlineLevel="2" x14ac:dyDescent="0.25">
      <c r="A56" s="25"/>
      <c r="B56" s="12" t="str">
        <f>CONCATENATE("          ","6003"," - ","STAFF HOURLY-9 MONTH")</f>
        <v xml:space="preserve">          6003 - STAFF HOURLY-9 MONTH</v>
      </c>
      <c r="C56" s="12"/>
      <c r="D56" s="8"/>
      <c r="E56" s="3"/>
      <c r="F56" s="7">
        <f t="shared" si="12"/>
        <v>0</v>
      </c>
      <c r="G56" s="3"/>
      <c r="H56" s="8">
        <v>0</v>
      </c>
      <c r="I56" s="3"/>
      <c r="J56" s="7">
        <f t="shared" si="13"/>
        <v>0</v>
      </c>
      <c r="K56" s="3"/>
      <c r="L56" s="8">
        <f t="shared" si="14"/>
        <v>0</v>
      </c>
      <c r="M56" s="3"/>
      <c r="N56" s="7">
        <f t="shared" si="15"/>
        <v>0</v>
      </c>
      <c r="O56" s="12"/>
      <c r="P56" s="8"/>
      <c r="Q56" s="3"/>
      <c r="R56" s="7">
        <f t="shared" si="16"/>
        <v>0</v>
      </c>
      <c r="S56" s="3"/>
      <c r="T56" s="8">
        <v>0</v>
      </c>
      <c r="U56" s="3"/>
      <c r="V56" s="7">
        <f t="shared" si="17"/>
        <v>0</v>
      </c>
      <c r="W56" s="3"/>
      <c r="X56" s="8">
        <f t="shared" si="18"/>
        <v>0</v>
      </c>
      <c r="Y56" s="3"/>
      <c r="Z56" s="7">
        <f t="shared" si="19"/>
        <v>0</v>
      </c>
    </row>
    <row r="57" spans="1:26" s="70" customFormat="1" ht="15" hidden="1" customHeight="1" outlineLevel="2" x14ac:dyDescent="0.25">
      <c r="A57" s="25"/>
      <c r="B57" s="12" t="str">
        <f>CONCATENATE("          ","6004"," - ","STAFF HOURLY")</f>
        <v xml:space="preserve">          6004 - STAFF HOURLY</v>
      </c>
      <c r="C57" s="12"/>
      <c r="D57" s="8">
        <v>13469.41</v>
      </c>
      <c r="E57" s="3"/>
      <c r="F57" s="7">
        <f t="shared" si="12"/>
        <v>1.819180895143736E-2</v>
      </c>
      <c r="G57" s="3"/>
      <c r="H57" s="8">
        <v>13271.04</v>
      </c>
      <c r="I57" s="3"/>
      <c r="J57" s="7">
        <f t="shared" si="13"/>
        <v>6.5833469752213714E-2</v>
      </c>
      <c r="K57" s="3"/>
      <c r="L57" s="8">
        <f t="shared" si="14"/>
        <v>198.36999999999898</v>
      </c>
      <c r="M57" s="3"/>
      <c r="N57" s="7">
        <f t="shared" si="15"/>
        <v>1.4947585117669675E-2</v>
      </c>
      <c r="O57" s="12"/>
      <c r="P57" s="8">
        <v>111845.91</v>
      </c>
      <c r="Q57" s="3"/>
      <c r="R57" s="7">
        <f t="shared" si="16"/>
        <v>2.518068142942095E-2</v>
      </c>
      <c r="S57" s="3"/>
      <c r="T57" s="8">
        <v>156762.72</v>
      </c>
      <c r="U57" s="3"/>
      <c r="V57" s="7">
        <f t="shared" si="17"/>
        <v>6.0347457663004797E-2</v>
      </c>
      <c r="W57" s="3"/>
      <c r="X57" s="8">
        <f t="shared" si="18"/>
        <v>-44916.81</v>
      </c>
      <c r="Y57" s="3"/>
      <c r="Z57" s="7">
        <f t="shared" si="19"/>
        <v>-0.28652737079326002</v>
      </c>
    </row>
    <row r="58" spans="1:26" s="70" customFormat="1" ht="15" hidden="1" customHeight="1" outlineLevel="2" x14ac:dyDescent="0.25">
      <c r="A58" s="25"/>
      <c r="B58" s="12" t="str">
        <f>CONCATENATE("          ","6005"," - ","TEMPORARY WAGES-HOURLY")</f>
        <v xml:space="preserve">          6005 - TEMPORARY WAGES-HOURLY</v>
      </c>
      <c r="C58" s="12"/>
      <c r="D58" s="8"/>
      <c r="E58" s="3"/>
      <c r="F58" s="7">
        <f t="shared" si="12"/>
        <v>0</v>
      </c>
      <c r="G58" s="3"/>
      <c r="H58" s="8">
        <v>0</v>
      </c>
      <c r="I58" s="3"/>
      <c r="J58" s="7">
        <f t="shared" si="13"/>
        <v>0</v>
      </c>
      <c r="K58" s="3"/>
      <c r="L58" s="8">
        <f t="shared" si="14"/>
        <v>0</v>
      </c>
      <c r="M58" s="3"/>
      <c r="N58" s="7">
        <f t="shared" si="15"/>
        <v>0</v>
      </c>
      <c r="O58" s="12"/>
      <c r="P58" s="8">
        <v>22430.91</v>
      </c>
      <c r="Q58" s="3"/>
      <c r="R58" s="7">
        <f t="shared" si="16"/>
        <v>5.0500335585093158E-3</v>
      </c>
      <c r="S58" s="3"/>
      <c r="T58" s="8">
        <v>0</v>
      </c>
      <c r="U58" s="3"/>
      <c r="V58" s="7">
        <f t="shared" si="17"/>
        <v>0</v>
      </c>
      <c r="W58" s="3"/>
      <c r="X58" s="8">
        <f t="shared" si="18"/>
        <v>22430.91</v>
      </c>
      <c r="Y58" s="3"/>
      <c r="Z58" s="7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","6006"," - ","TEMPORARY PART TIME")</f>
        <v xml:space="preserve">          6006 - TEMPORARY PART TIME</v>
      </c>
      <c r="C59" s="12"/>
      <c r="D59" s="8"/>
      <c r="E59" s="3"/>
      <c r="F59" s="7">
        <f t="shared" si="12"/>
        <v>0</v>
      </c>
      <c r="G59" s="3"/>
      <c r="H59" s="8">
        <v>0</v>
      </c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0</v>
      </c>
      <c r="U59" s="3"/>
      <c r="V59" s="7">
        <f t="shared" si="17"/>
        <v>0</v>
      </c>
      <c r="W59" s="3"/>
      <c r="X59" s="8">
        <f t="shared" si="18"/>
        <v>0</v>
      </c>
      <c r="Y59" s="3"/>
      <c r="Z59" s="7">
        <f t="shared" si="19"/>
        <v>0</v>
      </c>
    </row>
    <row r="60" spans="1:26" s="70" customFormat="1" ht="15" hidden="1" customHeight="1" outlineLevel="2" x14ac:dyDescent="0.25">
      <c r="A60" s="25"/>
      <c r="B60" s="12" t="str">
        <f>CONCATENATE("          ","6007"," - ","STUDENT HOURLY")</f>
        <v xml:space="preserve">          6007 - STUDENT HOURLY</v>
      </c>
      <c r="C60" s="12"/>
      <c r="D60" s="8">
        <v>37953.03</v>
      </c>
      <c r="E60" s="3"/>
      <c r="F60" s="7">
        <f t="shared" si="12"/>
        <v>5.1259429395064122E-2</v>
      </c>
      <c r="G60" s="3"/>
      <c r="H60" s="8">
        <v>29532</v>
      </c>
      <c r="I60" s="3"/>
      <c r="J60" s="7">
        <f t="shared" si="13"/>
        <v>0.14649899546097181</v>
      </c>
      <c r="K60" s="3"/>
      <c r="L60" s="8">
        <f t="shared" si="14"/>
        <v>8421.0299999999988</v>
      </c>
      <c r="M60" s="3"/>
      <c r="N60" s="7">
        <f t="shared" si="15"/>
        <v>0.28514932954083699</v>
      </c>
      <c r="O60" s="12"/>
      <c r="P60" s="8">
        <v>295485.21999999997</v>
      </c>
      <c r="Q60" s="3"/>
      <c r="R60" s="7">
        <f t="shared" si="16"/>
        <v>6.6524732034656989E-2</v>
      </c>
      <c r="S60" s="3"/>
      <c r="T60" s="8">
        <v>279726</v>
      </c>
      <c r="U60" s="3"/>
      <c r="V60" s="7">
        <f t="shared" si="17"/>
        <v>0.1076834654453666</v>
      </c>
      <c r="W60" s="3"/>
      <c r="X60" s="8">
        <f t="shared" si="18"/>
        <v>15759.219999999972</v>
      </c>
      <c r="Y60" s="3"/>
      <c r="Z60" s="7">
        <f t="shared" si="19"/>
        <v>5.6338059386685443E-2</v>
      </c>
    </row>
    <row r="61" spans="1:26" s="70" customFormat="1" ht="15" hidden="1" customHeight="1" outlineLevel="2" x14ac:dyDescent="0.25">
      <c r="A61" s="25"/>
      <c r="B61" s="12" t="str">
        <f>CONCATENATE("          ","6008"," - ","STUDENT HOURLY-FICA EXEMPT")</f>
        <v xml:space="preserve">          6008 - STUDENT HOURLY-FICA EXEMPT</v>
      </c>
      <c r="C61" s="12"/>
      <c r="D61" s="8">
        <v>7672.81</v>
      </c>
      <c r="E61" s="3"/>
      <c r="F61" s="7">
        <f t="shared" si="12"/>
        <v>1.0362910746697747E-2</v>
      </c>
      <c r="G61" s="3"/>
      <c r="H61" s="8">
        <v>0</v>
      </c>
      <c r="I61" s="3"/>
      <c r="J61" s="7">
        <f t="shared" si="13"/>
        <v>0</v>
      </c>
      <c r="K61" s="3"/>
      <c r="L61" s="8">
        <f t="shared" si="14"/>
        <v>7672.81</v>
      </c>
      <c r="M61" s="3"/>
      <c r="N61" s="7">
        <f t="shared" si="15"/>
        <v>0</v>
      </c>
      <c r="O61" s="12"/>
      <c r="P61" s="8">
        <v>85014.84</v>
      </c>
      <c r="Q61" s="3"/>
      <c r="R61" s="7">
        <f t="shared" si="16"/>
        <v>1.9140007916366303E-2</v>
      </c>
      <c r="S61" s="3"/>
      <c r="T61" s="8">
        <v>62100</v>
      </c>
      <c r="U61" s="3"/>
      <c r="V61" s="7">
        <f t="shared" si="17"/>
        <v>2.3906048076179066E-2</v>
      </c>
      <c r="W61" s="3"/>
      <c r="X61" s="8">
        <f t="shared" si="18"/>
        <v>22914.839999999997</v>
      </c>
      <c r="Y61" s="3"/>
      <c r="Z61" s="7">
        <f t="shared" si="19"/>
        <v>0.36899903381642507</v>
      </c>
    </row>
    <row r="62" spans="1:26" s="70" customFormat="1" ht="15" hidden="1" customHeight="1" outlineLevel="2" x14ac:dyDescent="0.25">
      <c r="A62" s="25"/>
      <c r="B62" s="12" t="str">
        <f>CONCATENATE("          ","6009"," - ","TEMPORARY-SEASONAL")</f>
        <v xml:space="preserve">          6009 - TEMPORARY-SEASONAL</v>
      </c>
      <c r="C62" s="12"/>
      <c r="D62" s="8"/>
      <c r="E62" s="3"/>
      <c r="F62" s="7">
        <f t="shared" si="12"/>
        <v>0</v>
      </c>
      <c r="G62" s="3"/>
      <c r="H62" s="8">
        <v>0</v>
      </c>
      <c r="I62" s="3"/>
      <c r="J62" s="7">
        <f t="shared" si="13"/>
        <v>0</v>
      </c>
      <c r="K62" s="3"/>
      <c r="L62" s="8">
        <f t="shared" si="14"/>
        <v>0</v>
      </c>
      <c r="M62" s="3"/>
      <c r="N62" s="7">
        <f t="shared" si="15"/>
        <v>0</v>
      </c>
      <c r="O62" s="12"/>
      <c r="P62" s="8"/>
      <c r="Q62" s="3"/>
      <c r="R62" s="7">
        <f t="shared" si="16"/>
        <v>0</v>
      </c>
      <c r="S62" s="3"/>
      <c r="T62" s="8">
        <v>0</v>
      </c>
      <c r="U62" s="3"/>
      <c r="V62" s="7">
        <f t="shared" si="17"/>
        <v>0</v>
      </c>
      <c r="W62" s="3"/>
      <c r="X62" s="8">
        <f t="shared" si="18"/>
        <v>0</v>
      </c>
      <c r="Y62" s="3"/>
      <c r="Z62" s="7">
        <f t="shared" si="19"/>
        <v>0</v>
      </c>
    </row>
    <row r="63" spans="1:26" s="70" customFormat="1" ht="15" hidden="1" customHeight="1" outlineLevel="2" x14ac:dyDescent="0.25">
      <c r="A63" s="25"/>
      <c r="B63" s="12" t="str">
        <f>CONCATENATE("          ","6010"," - ","GRATUITY")</f>
        <v xml:space="preserve">          6010 - GRATUITY</v>
      </c>
      <c r="C63" s="12"/>
      <c r="D63" s="8"/>
      <c r="E63" s="3"/>
      <c r="F63" s="7">
        <f t="shared" si="12"/>
        <v>0</v>
      </c>
      <c r="G63" s="3"/>
      <c r="H63" s="8">
        <v>0</v>
      </c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2"/>
      <c r="P63" s="8"/>
      <c r="Q63" s="3"/>
      <c r="R63" s="7">
        <f t="shared" si="16"/>
        <v>0</v>
      </c>
      <c r="S63" s="3"/>
      <c r="T63" s="8">
        <v>0</v>
      </c>
      <c r="U63" s="3"/>
      <c r="V63" s="7">
        <f t="shared" si="17"/>
        <v>0</v>
      </c>
      <c r="W63" s="3"/>
      <c r="X63" s="8">
        <f t="shared" si="18"/>
        <v>0</v>
      </c>
      <c r="Y63" s="3"/>
      <c r="Z63" s="7">
        <f t="shared" si="19"/>
        <v>0</v>
      </c>
    </row>
    <row r="64" spans="1:26" s="69" customFormat="1" ht="15" customHeight="1" outlineLevel="1" collapsed="1" x14ac:dyDescent="0.25">
      <c r="A64" s="26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932.84</v>
      </c>
      <c r="E64" s="2"/>
      <c r="F64" s="6">
        <f t="shared" si="12"/>
        <v>1.2598953526738606E-3</v>
      </c>
      <c r="G64" s="2"/>
      <c r="H64" s="2">
        <f>SUM(OSRRefH22_2x_0)</f>
        <v>50</v>
      </c>
      <c r="I64" s="2"/>
      <c r="J64" s="6">
        <f t="shared" si="13"/>
        <v>2.4803432795098842E-4</v>
      </c>
      <c r="K64" s="2"/>
      <c r="L64" s="2">
        <f t="shared" si="14"/>
        <v>882.84</v>
      </c>
      <c r="M64" s="2"/>
      <c r="N64" s="6">
        <f t="shared" si="15"/>
        <v>17.6568</v>
      </c>
      <c r="O64" s="14"/>
      <c r="P64" s="2">
        <f>SUM(OSRRefP22_2x_0)</f>
        <v>8090.66</v>
      </c>
      <c r="Q64" s="2"/>
      <c r="R64" s="6">
        <f t="shared" si="16"/>
        <v>1.8215090030002786E-3</v>
      </c>
      <c r="S64" s="2"/>
      <c r="T64" s="2">
        <f>SUM(OSRRefT22_2x_0)</f>
        <v>1950</v>
      </c>
      <c r="U64" s="2"/>
      <c r="V64" s="6">
        <f t="shared" si="17"/>
        <v>7.5067300722301417E-4</v>
      </c>
      <c r="W64" s="2"/>
      <c r="X64" s="2">
        <f t="shared" si="18"/>
        <v>6140.66</v>
      </c>
      <c r="Y64" s="2"/>
      <c r="Z64" s="6">
        <f t="shared" si="19"/>
        <v>3.14905641025641</v>
      </c>
    </row>
    <row r="65" spans="1:26" s="70" customFormat="1" ht="15" hidden="1" customHeight="1" outlineLevel="2" x14ac:dyDescent="0.25">
      <c r="A65" s="25"/>
      <c r="B65" s="12" t="str">
        <f>CONCATENATE("          ","6362"," - ","ADVERTISING EXPENSE")</f>
        <v xml:space="preserve">          6362 - ADVERTISING EXPENSE</v>
      </c>
      <c r="C65" s="12"/>
      <c r="D65" s="8">
        <v>932.84</v>
      </c>
      <c r="E65" s="3"/>
      <c r="F65" s="7">
        <f t="shared" si="12"/>
        <v>1.2598953526738606E-3</v>
      </c>
      <c r="G65" s="3"/>
      <c r="H65" s="8">
        <v>50</v>
      </c>
      <c r="I65" s="3"/>
      <c r="J65" s="7">
        <f t="shared" si="13"/>
        <v>2.4803432795098842E-4</v>
      </c>
      <c r="K65" s="3"/>
      <c r="L65" s="8">
        <f t="shared" si="14"/>
        <v>882.84</v>
      </c>
      <c r="M65" s="3"/>
      <c r="N65" s="7">
        <f t="shared" si="15"/>
        <v>17.6568</v>
      </c>
      <c r="O65" s="12"/>
      <c r="P65" s="8">
        <v>8090.66</v>
      </c>
      <c r="Q65" s="3"/>
      <c r="R65" s="7">
        <f t="shared" si="16"/>
        <v>1.8215090030002786E-3</v>
      </c>
      <c r="S65" s="3"/>
      <c r="T65" s="8">
        <v>1950</v>
      </c>
      <c r="U65" s="3"/>
      <c r="V65" s="7">
        <f t="shared" si="17"/>
        <v>7.5067300722301417E-4</v>
      </c>
      <c r="W65" s="3"/>
      <c r="X65" s="8">
        <f t="shared" si="18"/>
        <v>6140.66</v>
      </c>
      <c r="Y65" s="3"/>
      <c r="Z65" s="7">
        <f t="shared" si="19"/>
        <v>3.14905641025641</v>
      </c>
    </row>
    <row r="66" spans="1:26" s="69" customFormat="1" ht="15" customHeight="1" outlineLevel="1" collapsed="1" x14ac:dyDescent="0.25">
      <c r="A66" s="26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0</v>
      </c>
      <c r="E66" s="2"/>
      <c r="F66" s="6">
        <f t="shared" si="12"/>
        <v>0</v>
      </c>
      <c r="G66" s="2"/>
      <c r="H66" s="2">
        <f>SUM(OSRRefH22_3x_0)</f>
        <v>0</v>
      </c>
      <c r="I66" s="2"/>
      <c r="J66" s="6">
        <f t="shared" si="13"/>
        <v>0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SUM(OSRRefP22_3x_0)</f>
        <v>0</v>
      </c>
      <c r="Q66" s="2"/>
      <c r="R66" s="6">
        <f t="shared" si="16"/>
        <v>0</v>
      </c>
      <c r="S66" s="2"/>
      <c r="T66" s="2">
        <f>SUM(OSRRefT22_3x_0)</f>
        <v>0</v>
      </c>
      <c r="U66" s="2"/>
      <c r="V66" s="6">
        <f t="shared" si="17"/>
        <v>0</v>
      </c>
      <c r="W66" s="2"/>
      <c r="X66" s="2">
        <f t="shared" si="18"/>
        <v>0</v>
      </c>
      <c r="Y66" s="2"/>
      <c r="Z66" s="6">
        <f t="shared" si="19"/>
        <v>0</v>
      </c>
    </row>
    <row r="67" spans="1:26" s="70" customFormat="1" ht="15" hidden="1" customHeight="1" outlineLevel="2" x14ac:dyDescent="0.25">
      <c r="A67" s="25"/>
      <c r="B67" s="12" t="str">
        <f>CONCATENATE("          ","6272"," - ","CASH (OVER/SHORT)")</f>
        <v xml:space="preserve">          6272 - CASH (OVER/SHORT)</v>
      </c>
      <c r="C67" s="12"/>
      <c r="D67" s="8"/>
      <c r="E67" s="3"/>
      <c r="F67" s="7">
        <f t="shared" si="12"/>
        <v>0</v>
      </c>
      <c r="G67" s="3"/>
      <c r="H67" s="8">
        <v>0</v>
      </c>
      <c r="I67" s="3"/>
      <c r="J67" s="7">
        <f t="shared" si="13"/>
        <v>0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/>
      <c r="Q67" s="3"/>
      <c r="R67" s="7">
        <f t="shared" si="16"/>
        <v>0</v>
      </c>
      <c r="S67" s="3"/>
      <c r="T67" s="8">
        <v>0</v>
      </c>
      <c r="U67" s="3"/>
      <c r="V67" s="7">
        <f t="shared" si="17"/>
        <v>0</v>
      </c>
      <c r="W67" s="3"/>
      <c r="X67" s="8">
        <f t="shared" si="18"/>
        <v>0</v>
      </c>
      <c r="Y67" s="3"/>
      <c r="Z67" s="7">
        <f t="shared" si="19"/>
        <v>0</v>
      </c>
    </row>
    <row r="68" spans="1:26" s="69" customFormat="1" ht="15" customHeight="1" outlineLevel="1" collapsed="1" x14ac:dyDescent="0.25">
      <c r="A68" s="26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0</v>
      </c>
      <c r="E68" s="2"/>
      <c r="F68" s="6">
        <f t="shared" si="12"/>
        <v>0</v>
      </c>
      <c r="G68" s="2"/>
      <c r="H68" s="2">
        <f>SUM(OSRRefH22_4x_0)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SUM(OSRRefP22_4x_0)</f>
        <v>0</v>
      </c>
      <c r="Q68" s="2"/>
      <c r="R68" s="6">
        <f t="shared" si="16"/>
        <v>0</v>
      </c>
      <c r="S68" s="2"/>
      <c r="T68" s="2">
        <f>SUM(OSRRefT22_4x_0)</f>
        <v>0</v>
      </c>
      <c r="U68" s="2"/>
      <c r="V68" s="6">
        <f t="shared" si="17"/>
        <v>0</v>
      </c>
      <c r="W68" s="2"/>
      <c r="X68" s="2">
        <f t="shared" si="18"/>
        <v>0</v>
      </c>
      <c r="Y68" s="2"/>
      <c r="Z68" s="6">
        <f t="shared" si="19"/>
        <v>0</v>
      </c>
    </row>
    <row r="69" spans="1:26" s="70" customFormat="1" ht="15" hidden="1" customHeight="1" outlineLevel="2" x14ac:dyDescent="0.25">
      <c r="A69" s="25"/>
      <c r="B69" s="12" t="str">
        <f>CONCATENATE("          ","6381"," - ","BANK/CREDIT CARD FEES")</f>
        <v xml:space="preserve">          6381 - BANK/CREDIT CARD FEES</v>
      </c>
      <c r="C69" s="12"/>
      <c r="D69" s="8"/>
      <c r="E69" s="3"/>
      <c r="F69" s="7">
        <f t="shared" si="12"/>
        <v>0</v>
      </c>
      <c r="G69" s="3"/>
      <c r="H69" s="8">
        <v>0</v>
      </c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/>
      <c r="Q69" s="3"/>
      <c r="R69" s="7">
        <f t="shared" si="16"/>
        <v>0</v>
      </c>
      <c r="S69" s="3"/>
      <c r="T69" s="8">
        <v>0</v>
      </c>
      <c r="U69" s="3"/>
      <c r="V69" s="7">
        <f t="shared" si="17"/>
        <v>0</v>
      </c>
      <c r="W69" s="3"/>
      <c r="X69" s="8">
        <f t="shared" si="18"/>
        <v>0</v>
      </c>
      <c r="Y69" s="3"/>
      <c r="Z69" s="7">
        <f t="shared" si="19"/>
        <v>0</v>
      </c>
    </row>
    <row r="70" spans="1:26" s="69" customFormat="1" ht="15" customHeight="1" outlineLevel="1" collapsed="1" x14ac:dyDescent="0.25">
      <c r="A70" s="26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25">
      <c r="A71" s="25"/>
      <c r="B71" s="12" t="str">
        <f>CONCATENATE("          ","9175"," - ","EARNED DISCOUNTS")</f>
        <v xml:space="preserve">          9175 - EARNED DISCOUNTS</v>
      </c>
      <c r="C71" s="12"/>
      <c r="D71" s="8"/>
      <c r="E71" s="3"/>
      <c r="F71" s="7">
        <f t="shared" si="12"/>
        <v>0</v>
      </c>
      <c r="G71" s="3"/>
      <c r="H71" s="8"/>
      <c r="I71" s="3"/>
      <c r="J71" s="7">
        <f t="shared" si="13"/>
        <v>0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0</v>
      </c>
      <c r="Q71" s="3"/>
      <c r="R71" s="7">
        <f t="shared" si="16"/>
        <v>0</v>
      </c>
      <c r="S71" s="3"/>
      <c r="T71" s="8"/>
      <c r="U71" s="3"/>
      <c r="V71" s="7">
        <f t="shared" si="17"/>
        <v>0</v>
      </c>
      <c r="W71" s="3"/>
      <c r="X71" s="8">
        <f t="shared" si="18"/>
        <v>0</v>
      </c>
      <c r="Y71" s="3"/>
      <c r="Z71" s="7">
        <f t="shared" si="19"/>
        <v>0</v>
      </c>
    </row>
    <row r="72" spans="1:26" s="69" customFormat="1" ht="15" customHeight="1" outlineLevel="1" collapsed="1" x14ac:dyDescent="0.25">
      <c r="A72" s="26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0</v>
      </c>
      <c r="E72" s="2"/>
      <c r="F72" s="6">
        <f t="shared" si="12"/>
        <v>0</v>
      </c>
      <c r="G72" s="2"/>
      <c r="H72" s="2">
        <f>SUM(OSRRefH22_6x_0)</f>
        <v>50</v>
      </c>
      <c r="I72" s="2"/>
      <c r="J72" s="6">
        <f t="shared" si="13"/>
        <v>2.4803432795098842E-4</v>
      </c>
      <c r="K72" s="2"/>
      <c r="L72" s="2">
        <f t="shared" si="14"/>
        <v>-50</v>
      </c>
      <c r="M72" s="2"/>
      <c r="N72" s="6">
        <f t="shared" si="15"/>
        <v>-1</v>
      </c>
      <c r="O72" s="14"/>
      <c r="P72" s="2">
        <f>SUM(OSRRefP22_6x_0)</f>
        <v>291.13</v>
      </c>
      <c r="Q72" s="2"/>
      <c r="R72" s="6">
        <f t="shared" si="16"/>
        <v>6.5544209748459467E-5</v>
      </c>
      <c r="S72" s="2"/>
      <c r="T72" s="2">
        <f>SUM(OSRRefT22_6x_0)</f>
        <v>550</v>
      </c>
      <c r="U72" s="2"/>
      <c r="V72" s="6">
        <f t="shared" si="17"/>
        <v>2.1172828408854246E-4</v>
      </c>
      <c r="W72" s="2"/>
      <c r="X72" s="2">
        <f t="shared" si="18"/>
        <v>-258.87</v>
      </c>
      <c r="Y72" s="2"/>
      <c r="Z72" s="6">
        <f t="shared" si="19"/>
        <v>-0.4706727272727273</v>
      </c>
    </row>
    <row r="73" spans="1:26" s="70" customFormat="1" ht="15" hidden="1" customHeight="1" outlineLevel="2" x14ac:dyDescent="0.25">
      <c r="A73" s="25"/>
      <c r="B73" s="12" t="str">
        <f>CONCATENATE("          ","6277"," - ","EMPLOYEE APPRECIATION")</f>
        <v xml:space="preserve">          6277 - EMPLOYEE APPRECIATION</v>
      </c>
      <c r="C73" s="12"/>
      <c r="D73" s="8"/>
      <c r="E73" s="3"/>
      <c r="F73" s="7">
        <f t="shared" si="12"/>
        <v>0</v>
      </c>
      <c r="G73" s="3"/>
      <c r="H73" s="8">
        <v>50</v>
      </c>
      <c r="I73" s="3"/>
      <c r="J73" s="7">
        <f t="shared" si="13"/>
        <v>2.4803432795098842E-4</v>
      </c>
      <c r="K73" s="3"/>
      <c r="L73" s="8">
        <f t="shared" si="14"/>
        <v>-50</v>
      </c>
      <c r="M73" s="3"/>
      <c r="N73" s="7">
        <f t="shared" si="15"/>
        <v>-1</v>
      </c>
      <c r="O73" s="12"/>
      <c r="P73" s="8">
        <v>291.13</v>
      </c>
      <c r="Q73" s="3"/>
      <c r="R73" s="7">
        <f t="shared" si="16"/>
        <v>6.5544209748459467E-5</v>
      </c>
      <c r="S73" s="3"/>
      <c r="T73" s="8">
        <v>550</v>
      </c>
      <c r="U73" s="3"/>
      <c r="V73" s="7">
        <f t="shared" si="17"/>
        <v>2.1172828408854246E-4</v>
      </c>
      <c r="W73" s="3"/>
      <c r="X73" s="8">
        <f t="shared" si="18"/>
        <v>-258.87</v>
      </c>
      <c r="Y73" s="3"/>
      <c r="Z73" s="7">
        <f t="shared" si="19"/>
        <v>-0.4706727272727273</v>
      </c>
    </row>
    <row r="74" spans="1:26" s="69" customFormat="1" ht="15" customHeight="1" outlineLevel="1" collapsed="1" x14ac:dyDescent="0.25">
      <c r="A74" s="26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2.6771071278086476E-5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25">
      <c r="A75" s="25"/>
      <c r="B75" s="12" t="str">
        <f>CONCATENATE("          ","6351"," - ","EQUIPMENT RENTAL")</f>
        <v xml:space="preserve">          6351 - EQUIPMENT RENTAL</v>
      </c>
      <c r="C75" s="12"/>
      <c r="D75" s="8"/>
      <c r="E75" s="3"/>
      <c r="F75" s="7">
        <f t="shared" si="20"/>
        <v>0</v>
      </c>
      <c r="G75" s="3"/>
      <c r="H75" s="8"/>
      <c r="I75" s="3"/>
      <c r="J75" s="7">
        <f t="shared" si="21"/>
        <v>0</v>
      </c>
      <c r="K75" s="3"/>
      <c r="L75" s="8">
        <f t="shared" si="22"/>
        <v>0</v>
      </c>
      <c r="M75" s="3"/>
      <c r="N75" s="7">
        <f t="shared" si="23"/>
        <v>0</v>
      </c>
      <c r="O75" s="12"/>
      <c r="P75" s="8">
        <v>118.91</v>
      </c>
      <c r="Q75" s="3"/>
      <c r="R75" s="7">
        <f t="shared" si="24"/>
        <v>2.6771071278086476E-5</v>
      </c>
      <c r="S75" s="3"/>
      <c r="T75" s="8"/>
      <c r="U75" s="3"/>
      <c r="V75" s="7">
        <f t="shared" si="25"/>
        <v>0</v>
      </c>
      <c r="W75" s="3"/>
      <c r="X75" s="8">
        <f t="shared" si="26"/>
        <v>118.91</v>
      </c>
      <c r="Y75" s="3"/>
      <c r="Z75" s="7">
        <f t="shared" si="27"/>
        <v>0</v>
      </c>
    </row>
    <row r="76" spans="1:26" s="69" customFormat="1" ht="15" customHeight="1" outlineLevel="1" collapsed="1" x14ac:dyDescent="0.25">
      <c r="A76" s="26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2.4803432795098842E-4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2.0921780193434514E-4</v>
      </c>
      <c r="S76" s="2"/>
      <c r="T76" s="2">
        <f>SUM(OSRRefT22_8x_0)</f>
        <v>550</v>
      </c>
      <c r="U76" s="2"/>
      <c r="V76" s="6">
        <f t="shared" si="25"/>
        <v>2.1172828408854246E-4</v>
      </c>
      <c r="W76" s="2"/>
      <c r="X76" s="2">
        <f t="shared" si="26"/>
        <v>379.28999999999996</v>
      </c>
      <c r="Y76" s="2"/>
      <c r="Z76" s="6">
        <f t="shared" si="27"/>
        <v>0.6896181818181818</v>
      </c>
    </row>
    <row r="77" spans="1:26" s="70" customFormat="1" ht="15" hidden="1" customHeight="1" outlineLevel="2" x14ac:dyDescent="0.25">
      <c r="A77" s="25"/>
      <c r="B77" s="12" t="str">
        <f>CONCATENATE("          ","6305"," - ","FREIGHT OUT")</f>
        <v xml:space="preserve">          6305 - FREIGHT OUT</v>
      </c>
      <c r="C77" s="12"/>
      <c r="D77" s="8"/>
      <c r="E77" s="3"/>
      <c r="F77" s="7">
        <f t="shared" si="20"/>
        <v>0</v>
      </c>
      <c r="G77" s="3"/>
      <c r="H77" s="8">
        <v>50</v>
      </c>
      <c r="I77" s="3"/>
      <c r="J77" s="7">
        <f t="shared" si="21"/>
        <v>2.4803432795098842E-4</v>
      </c>
      <c r="K77" s="3"/>
      <c r="L77" s="8">
        <f t="shared" si="22"/>
        <v>-50</v>
      </c>
      <c r="M77" s="3"/>
      <c r="N77" s="7">
        <f t="shared" si="23"/>
        <v>-1</v>
      </c>
      <c r="O77" s="12"/>
      <c r="P77" s="8">
        <v>893.87</v>
      </c>
      <c r="Q77" s="3"/>
      <c r="R77" s="7">
        <f t="shared" si="24"/>
        <v>2.0124344027704278E-4</v>
      </c>
      <c r="S77" s="3"/>
      <c r="T77" s="8">
        <v>550</v>
      </c>
      <c r="U77" s="3"/>
      <c r="V77" s="7">
        <f t="shared" si="25"/>
        <v>2.1172828408854246E-4</v>
      </c>
      <c r="W77" s="3"/>
      <c r="X77" s="8">
        <f t="shared" si="26"/>
        <v>343.87</v>
      </c>
      <c r="Y77" s="3"/>
      <c r="Z77" s="7">
        <f t="shared" si="27"/>
        <v>0.62521818181818178</v>
      </c>
    </row>
    <row r="78" spans="1:26" s="70" customFormat="1" ht="15" hidden="1" customHeight="1" outlineLevel="2" x14ac:dyDescent="0.25">
      <c r="A78" s="25"/>
      <c r="B78" s="12" t="str">
        <f>CONCATENATE("          ","6307"," - ","POSTAGE")</f>
        <v xml:space="preserve">          6307 - POSTAGE</v>
      </c>
      <c r="C78" s="12"/>
      <c r="D78" s="8"/>
      <c r="E78" s="3"/>
      <c r="F78" s="7">
        <f t="shared" si="20"/>
        <v>0</v>
      </c>
      <c r="G78" s="3"/>
      <c r="H78" s="8"/>
      <c r="I78" s="3"/>
      <c r="J78" s="7">
        <f t="shared" si="21"/>
        <v>0</v>
      </c>
      <c r="K78" s="3"/>
      <c r="L78" s="8">
        <f t="shared" si="22"/>
        <v>0</v>
      </c>
      <c r="M78" s="3"/>
      <c r="N78" s="7">
        <f t="shared" si="23"/>
        <v>0</v>
      </c>
      <c r="O78" s="12"/>
      <c r="P78" s="8">
        <v>35.42</v>
      </c>
      <c r="Q78" s="3"/>
      <c r="R78" s="7">
        <f t="shared" si="24"/>
        <v>7.9743616573023556E-6</v>
      </c>
      <c r="S78" s="3"/>
      <c r="T78" s="8"/>
      <c r="U78" s="3"/>
      <c r="V78" s="7">
        <f t="shared" si="25"/>
        <v>0</v>
      </c>
      <c r="W78" s="3"/>
      <c r="X78" s="8">
        <f t="shared" si="26"/>
        <v>35.42</v>
      </c>
      <c r="Y78" s="3"/>
      <c r="Z78" s="7">
        <f t="shared" si="27"/>
        <v>0</v>
      </c>
    </row>
    <row r="79" spans="1:26" s="69" customFormat="1" ht="15" customHeight="1" outlineLevel="1" collapsed="1" x14ac:dyDescent="0.25">
      <c r="A79" s="26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0</v>
      </c>
      <c r="E79" s="2"/>
      <c r="F79" s="6">
        <f t="shared" si="20"/>
        <v>0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0</v>
      </c>
      <c r="M79" s="2"/>
      <c r="N79" s="6">
        <f t="shared" si="23"/>
        <v>0</v>
      </c>
      <c r="O79" s="14"/>
      <c r="P79" s="2">
        <f>SUM(OSRRefP22_9x_0)</f>
        <v>988.17</v>
      </c>
      <c r="Q79" s="2"/>
      <c r="R79" s="6">
        <f t="shared" si="24"/>
        <v>2.2247388365038021E-4</v>
      </c>
      <c r="S79" s="2"/>
      <c r="T79" s="2">
        <f>SUM(OSRRefT22_9x_0)</f>
        <v>0</v>
      </c>
      <c r="U79" s="2"/>
      <c r="V79" s="6">
        <f t="shared" si="25"/>
        <v>0</v>
      </c>
      <c r="W79" s="2"/>
      <c r="X79" s="2">
        <f t="shared" si="26"/>
        <v>988.17</v>
      </c>
      <c r="Y79" s="2"/>
      <c r="Z79" s="6">
        <f t="shared" si="27"/>
        <v>0</v>
      </c>
    </row>
    <row r="80" spans="1:26" s="70" customFormat="1" ht="15" hidden="1" customHeight="1" outlineLevel="2" x14ac:dyDescent="0.25">
      <c r="A80" s="25"/>
      <c r="B80" s="12" t="str">
        <f>CONCATENATE("          ","6279"," - ","GENERAL EXPENSE")</f>
        <v xml:space="preserve">          6279 - GENERAL EXPENSE</v>
      </c>
      <c r="C80" s="12"/>
      <c r="D80" s="8"/>
      <c r="E80" s="3"/>
      <c r="F80" s="7">
        <f t="shared" si="20"/>
        <v>0</v>
      </c>
      <c r="G80" s="3"/>
      <c r="H80" s="8">
        <v>0</v>
      </c>
      <c r="I80" s="3"/>
      <c r="J80" s="7">
        <f t="shared" si="21"/>
        <v>0</v>
      </c>
      <c r="K80" s="3"/>
      <c r="L80" s="8">
        <f t="shared" si="22"/>
        <v>0</v>
      </c>
      <c r="M80" s="3"/>
      <c r="N80" s="7">
        <f t="shared" si="23"/>
        <v>0</v>
      </c>
      <c r="O80" s="12"/>
      <c r="P80" s="8">
        <v>988.17</v>
      </c>
      <c r="Q80" s="3"/>
      <c r="R80" s="7">
        <f t="shared" si="24"/>
        <v>2.2247388365038021E-4</v>
      </c>
      <c r="S80" s="3"/>
      <c r="T80" s="8">
        <v>0</v>
      </c>
      <c r="U80" s="3"/>
      <c r="V80" s="7">
        <f t="shared" si="25"/>
        <v>0</v>
      </c>
      <c r="W80" s="3"/>
      <c r="X80" s="8">
        <f t="shared" si="26"/>
        <v>988.17</v>
      </c>
      <c r="Y80" s="3"/>
      <c r="Z80" s="7">
        <f t="shared" si="27"/>
        <v>0</v>
      </c>
    </row>
    <row r="81" spans="1:26" s="69" customFormat="1" ht="15" customHeight="1" outlineLevel="1" collapsed="1" x14ac:dyDescent="0.25">
      <c r="A81" s="26"/>
      <c r="B81" s="14" t="str">
        <f>CONCATENATE("     ","Inventory Adjustment                              ")</f>
        <v xml:space="preserve">     Inventory Adjustment                              </v>
      </c>
      <c r="C81" s="14"/>
      <c r="D81" s="2">
        <f>SUM(OSRRefD22_10x_0)</f>
        <v>3350</v>
      </c>
      <c r="E81" s="2"/>
      <c r="F81" s="6">
        <f t="shared" si="20"/>
        <v>4.524515920691044E-3</v>
      </c>
      <c r="G81" s="2"/>
      <c r="H81" s="2">
        <f>SUM(OSRRefH22_10x_0)</f>
        <v>3350</v>
      </c>
      <c r="I81" s="2"/>
      <c r="J81" s="6">
        <f t="shared" si="21"/>
        <v>1.6618299972716223E-2</v>
      </c>
      <c r="K81" s="2"/>
      <c r="L81" s="2">
        <f t="shared" si="22"/>
        <v>0</v>
      </c>
      <c r="M81" s="2"/>
      <c r="N81" s="6">
        <f t="shared" si="23"/>
        <v>0</v>
      </c>
      <c r="O81" s="14"/>
      <c r="P81" s="2">
        <f>SUM(OSRRefP22_10x_0)</f>
        <v>36850</v>
      </c>
      <c r="Q81" s="2"/>
      <c r="R81" s="6">
        <f t="shared" si="24"/>
        <v>8.2963079353922005E-3</v>
      </c>
      <c r="S81" s="2"/>
      <c r="T81" s="2">
        <f>SUM(OSRRefT22_10x_0)</f>
        <v>36850</v>
      </c>
      <c r="U81" s="2"/>
      <c r="V81" s="6">
        <f t="shared" si="25"/>
        <v>1.4185795033932344E-2</v>
      </c>
      <c r="W81" s="2"/>
      <c r="X81" s="2">
        <f t="shared" si="26"/>
        <v>0</v>
      </c>
      <c r="Y81" s="2"/>
      <c r="Z81" s="6">
        <f t="shared" si="27"/>
        <v>0</v>
      </c>
    </row>
    <row r="82" spans="1:26" s="70" customFormat="1" ht="15" hidden="1" customHeight="1" outlineLevel="2" x14ac:dyDescent="0.25">
      <c r="A82" s="25"/>
      <c r="B82" s="12" t="str">
        <f>CONCATENATE("          ","6408"," - ","INVENTORY ADJUSTMENT")</f>
        <v xml:space="preserve">          6408 - INVENTORY ADJUSTMENT</v>
      </c>
      <c r="C82" s="12"/>
      <c r="D82" s="8">
        <v>3350</v>
      </c>
      <c r="E82" s="3"/>
      <c r="F82" s="7">
        <f t="shared" si="20"/>
        <v>4.524515920691044E-3</v>
      </c>
      <c r="G82" s="3"/>
      <c r="H82" s="8">
        <v>3350</v>
      </c>
      <c r="I82" s="3"/>
      <c r="J82" s="7">
        <f t="shared" si="21"/>
        <v>1.6618299972716223E-2</v>
      </c>
      <c r="K82" s="3"/>
      <c r="L82" s="8">
        <f t="shared" si="22"/>
        <v>0</v>
      </c>
      <c r="M82" s="3"/>
      <c r="N82" s="7">
        <f t="shared" si="23"/>
        <v>0</v>
      </c>
      <c r="O82" s="12"/>
      <c r="P82" s="8">
        <v>36850</v>
      </c>
      <c r="Q82" s="3"/>
      <c r="R82" s="7">
        <f t="shared" si="24"/>
        <v>8.2963079353922005E-3</v>
      </c>
      <c r="S82" s="3"/>
      <c r="T82" s="8">
        <v>36850</v>
      </c>
      <c r="U82" s="3"/>
      <c r="V82" s="7">
        <f t="shared" si="25"/>
        <v>1.4185795033932344E-2</v>
      </c>
      <c r="W82" s="3"/>
      <c r="X82" s="8">
        <f t="shared" si="26"/>
        <v>0</v>
      </c>
      <c r="Y82" s="3"/>
      <c r="Z82" s="7">
        <f t="shared" si="27"/>
        <v>0</v>
      </c>
    </row>
    <row r="83" spans="1:26" s="69" customFormat="1" ht="15" customHeight="1" outlineLevel="1" collapsed="1" x14ac:dyDescent="0.25">
      <c r="A83" s="26"/>
      <c r="B83" s="14" t="str">
        <f>CONCATENATE("     ","Professional Services                             ")</f>
        <v xml:space="preserve">     Professional Services                             </v>
      </c>
      <c r="C83" s="14"/>
      <c r="D83" s="2">
        <f>SUM(OSRRefD22_11x_0)</f>
        <v>0</v>
      </c>
      <c r="E83" s="2"/>
      <c r="F83" s="6">
        <f t="shared" si="20"/>
        <v>0</v>
      </c>
      <c r="G83" s="2"/>
      <c r="H83" s="2">
        <f>SUM(OSRRefH22_11x_0)</f>
        <v>0</v>
      </c>
      <c r="I83" s="2"/>
      <c r="J83" s="6">
        <f t="shared" si="21"/>
        <v>0</v>
      </c>
      <c r="K83" s="2"/>
      <c r="L83" s="2">
        <f t="shared" si="22"/>
        <v>0</v>
      </c>
      <c r="M83" s="2"/>
      <c r="N83" s="6">
        <f t="shared" si="23"/>
        <v>0</v>
      </c>
      <c r="O83" s="14"/>
      <c r="P83" s="2">
        <f>SUM(OSRRefP22_11x_0)</f>
        <v>1947.64</v>
      </c>
      <c r="Q83" s="2"/>
      <c r="R83" s="6">
        <f t="shared" si="24"/>
        <v>4.38486328013223E-4</v>
      </c>
      <c r="S83" s="2"/>
      <c r="T83" s="2">
        <f>SUM(OSRRefT22_11x_0)</f>
        <v>1000</v>
      </c>
      <c r="U83" s="2"/>
      <c r="V83" s="6">
        <f t="shared" si="25"/>
        <v>3.8496051652462266E-4</v>
      </c>
      <c r="W83" s="2"/>
      <c r="X83" s="2">
        <f t="shared" si="26"/>
        <v>947.6400000000001</v>
      </c>
      <c r="Y83" s="2"/>
      <c r="Z83" s="6">
        <f t="shared" si="27"/>
        <v>0.94764000000000015</v>
      </c>
    </row>
    <row r="84" spans="1:26" s="70" customFormat="1" ht="15" hidden="1" customHeight="1" outlineLevel="2" x14ac:dyDescent="0.25">
      <c r="A84" s="25"/>
      <c r="B84" s="12" t="str">
        <f>CONCATENATE("          ","6336"," - ","PROFESSIONAL SERVICES")</f>
        <v xml:space="preserve">          6336 - PROFESSIONAL SERVICES</v>
      </c>
      <c r="C84" s="12"/>
      <c r="D84" s="8"/>
      <c r="E84" s="3"/>
      <c r="F84" s="7">
        <f t="shared" si="20"/>
        <v>0</v>
      </c>
      <c r="G84" s="3"/>
      <c r="H84" s="8">
        <v>0</v>
      </c>
      <c r="I84" s="3"/>
      <c r="J84" s="7">
        <f t="shared" si="21"/>
        <v>0</v>
      </c>
      <c r="K84" s="3"/>
      <c r="L84" s="8">
        <f t="shared" si="22"/>
        <v>0</v>
      </c>
      <c r="M84" s="3"/>
      <c r="N84" s="7">
        <f t="shared" si="23"/>
        <v>0</v>
      </c>
      <c r="O84" s="12"/>
      <c r="P84" s="8">
        <v>1947.64</v>
      </c>
      <c r="Q84" s="3"/>
      <c r="R84" s="7">
        <f t="shared" si="24"/>
        <v>4.38486328013223E-4</v>
      </c>
      <c r="S84" s="3"/>
      <c r="T84" s="8">
        <v>1000</v>
      </c>
      <c r="U84" s="3"/>
      <c r="V84" s="7">
        <f t="shared" si="25"/>
        <v>3.8496051652462266E-4</v>
      </c>
      <c r="W84" s="3"/>
      <c r="X84" s="8">
        <f t="shared" si="26"/>
        <v>947.6400000000001</v>
      </c>
      <c r="Y84" s="3"/>
      <c r="Z84" s="7">
        <f t="shared" si="27"/>
        <v>0.94764000000000015</v>
      </c>
    </row>
    <row r="85" spans="1:26" s="69" customFormat="1" ht="15" customHeight="1" outlineLevel="1" collapsed="1" x14ac:dyDescent="0.25">
      <c r="A85" s="26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SUM(OSRRefD22_12x_0)</f>
        <v>0</v>
      </c>
      <c r="E85" s="2"/>
      <c r="F85" s="6">
        <f t="shared" si="20"/>
        <v>0</v>
      </c>
      <c r="G85" s="2"/>
      <c r="H85" s="2">
        <f>SUM(OSRRefH22_12x_0)</f>
        <v>0</v>
      </c>
      <c r="I85" s="2"/>
      <c r="J85" s="6">
        <f t="shared" si="21"/>
        <v>0</v>
      </c>
      <c r="K85" s="2"/>
      <c r="L85" s="2">
        <f t="shared" si="22"/>
        <v>0</v>
      </c>
      <c r="M85" s="2"/>
      <c r="N85" s="6">
        <f t="shared" si="23"/>
        <v>0</v>
      </c>
      <c r="O85" s="14"/>
      <c r="P85" s="2">
        <f>SUM(OSRRefP22_12x_0)</f>
        <v>3859.0499999999997</v>
      </c>
      <c r="Q85" s="2"/>
      <c r="R85" s="6">
        <f t="shared" si="24"/>
        <v>8.6881593319064509E-4</v>
      </c>
      <c r="S85" s="2"/>
      <c r="T85" s="2">
        <f>SUM(OSRRefT22_12x_0)</f>
        <v>0</v>
      </c>
      <c r="U85" s="2"/>
      <c r="V85" s="6">
        <f t="shared" si="25"/>
        <v>0</v>
      </c>
      <c r="W85" s="2"/>
      <c r="X85" s="2">
        <f t="shared" si="26"/>
        <v>3859.0499999999997</v>
      </c>
      <c r="Y85" s="2"/>
      <c r="Z85" s="6">
        <f t="shared" si="27"/>
        <v>0</v>
      </c>
    </row>
    <row r="86" spans="1:26" s="70" customFormat="1" ht="15" hidden="1" customHeight="1" outlineLevel="2" x14ac:dyDescent="0.25">
      <c r="A86" s="25"/>
      <c r="B86" s="12" t="str">
        <f>CONCATENATE("          ","6373"," - ","MAINTENANCE CONTRACTS")</f>
        <v xml:space="preserve">          6373 - MAINTENANCE CONTRACTS</v>
      </c>
      <c r="C86" s="12"/>
      <c r="D86" s="8"/>
      <c r="E86" s="3"/>
      <c r="F86" s="7">
        <f t="shared" si="20"/>
        <v>0</v>
      </c>
      <c r="G86" s="3"/>
      <c r="H86" s="8"/>
      <c r="I86" s="3"/>
      <c r="J86" s="7">
        <f t="shared" si="21"/>
        <v>0</v>
      </c>
      <c r="K86" s="3"/>
      <c r="L86" s="8">
        <f t="shared" si="22"/>
        <v>0</v>
      </c>
      <c r="M86" s="3"/>
      <c r="N86" s="7">
        <f t="shared" si="23"/>
        <v>0</v>
      </c>
      <c r="O86" s="12"/>
      <c r="P86" s="8">
        <v>17.739999999999998</v>
      </c>
      <c r="Q86" s="3"/>
      <c r="R86" s="7">
        <f t="shared" si="24"/>
        <v>3.9939349463733411E-6</v>
      </c>
      <c r="S86" s="3"/>
      <c r="T86" s="8"/>
      <c r="U86" s="3"/>
      <c r="V86" s="7">
        <f t="shared" si="25"/>
        <v>0</v>
      </c>
      <c r="W86" s="3"/>
      <c r="X86" s="8">
        <f t="shared" si="26"/>
        <v>17.739999999999998</v>
      </c>
      <c r="Y86" s="3"/>
      <c r="Z86" s="7">
        <f t="shared" si="27"/>
        <v>0</v>
      </c>
    </row>
    <row r="87" spans="1:26" s="70" customFormat="1" ht="15" hidden="1" customHeight="1" outlineLevel="2" x14ac:dyDescent="0.25">
      <c r="A87" s="25"/>
      <c r="B87" s="12" t="str">
        <f>CONCATENATE("          ","6375"," - ","OUTSIDE REPAIRS &amp; MAINTENANCE")</f>
        <v xml:space="preserve">          6375 - OUTSIDE REPAIRS &amp; MAINTENANCE</v>
      </c>
      <c r="C87" s="12"/>
      <c r="D87" s="8"/>
      <c r="E87" s="3"/>
      <c r="F87" s="7">
        <f t="shared" si="20"/>
        <v>0</v>
      </c>
      <c r="G87" s="3"/>
      <c r="H87" s="8">
        <v>0</v>
      </c>
      <c r="I87" s="3"/>
      <c r="J87" s="7">
        <f t="shared" si="21"/>
        <v>0</v>
      </c>
      <c r="K87" s="3"/>
      <c r="L87" s="8">
        <f t="shared" si="22"/>
        <v>0</v>
      </c>
      <c r="M87" s="3"/>
      <c r="N87" s="7">
        <f t="shared" si="23"/>
        <v>0</v>
      </c>
      <c r="O87" s="12"/>
      <c r="P87" s="8">
        <v>3841.31</v>
      </c>
      <c r="Q87" s="3"/>
      <c r="R87" s="7">
        <f t="shared" si="24"/>
        <v>8.6482199824427185E-4</v>
      </c>
      <c r="S87" s="3"/>
      <c r="T87" s="8">
        <v>0</v>
      </c>
      <c r="U87" s="3"/>
      <c r="V87" s="7">
        <f t="shared" si="25"/>
        <v>0</v>
      </c>
      <c r="W87" s="3"/>
      <c r="X87" s="8">
        <f t="shared" si="26"/>
        <v>3841.31</v>
      </c>
      <c r="Y87" s="3"/>
      <c r="Z87" s="7">
        <f t="shared" si="27"/>
        <v>0</v>
      </c>
    </row>
    <row r="88" spans="1:26" s="69" customFormat="1" ht="15" customHeight="1" outlineLevel="1" collapsed="1" x14ac:dyDescent="0.25">
      <c r="A88" s="26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2">
        <f>SUM(OSRRefD22_13x_0)</f>
        <v>2584.1300000000006</v>
      </c>
      <c r="E88" s="2"/>
      <c r="F88" s="6">
        <f t="shared" si="20"/>
        <v>3.4901305451150296E-3</v>
      </c>
      <c r="G88" s="2"/>
      <c r="H88" s="2">
        <f>SUM(OSRRefH22_13x_0)</f>
        <v>3156</v>
      </c>
      <c r="I88" s="2"/>
      <c r="J88" s="6">
        <f t="shared" si="21"/>
        <v>1.565592678026639E-2</v>
      </c>
      <c r="K88" s="2"/>
      <c r="L88" s="2">
        <f t="shared" si="22"/>
        <v>-571.86999999999944</v>
      </c>
      <c r="M88" s="2"/>
      <c r="N88" s="6">
        <f t="shared" si="23"/>
        <v>-0.18120088719898589</v>
      </c>
      <c r="O88" s="14"/>
      <c r="P88" s="2">
        <f>SUM(OSRRefP22_13x_0)</f>
        <v>72156.009999999995</v>
      </c>
      <c r="Q88" s="2"/>
      <c r="R88" s="6">
        <f t="shared" si="24"/>
        <v>1.6245006196722905E-2</v>
      </c>
      <c r="S88" s="2"/>
      <c r="T88" s="2">
        <f>SUM(OSRRefT22_13x_0)</f>
        <v>58688</v>
      </c>
      <c r="U88" s="2"/>
      <c r="V88" s="6">
        <f t="shared" si="25"/>
        <v>2.2592562793797056E-2</v>
      </c>
      <c r="W88" s="2"/>
      <c r="X88" s="2">
        <f t="shared" si="26"/>
        <v>13468.009999999995</v>
      </c>
      <c r="Y88" s="2"/>
      <c r="Z88" s="6">
        <f t="shared" si="27"/>
        <v>0.2294849032170119</v>
      </c>
    </row>
    <row r="89" spans="1:26" s="70" customFormat="1" ht="15" hidden="1" customHeight="1" outlineLevel="2" x14ac:dyDescent="0.25">
      <c r="A89" s="25"/>
      <c r="B89" s="12" t="str">
        <f>CONCATENATE("          ","6252"," - ","ROYALTY DUE CSTV")</f>
        <v xml:space="preserve">          6252 - ROYALTY DUE CSTV</v>
      </c>
      <c r="C89" s="12"/>
      <c r="D89" s="8"/>
      <c r="E89" s="3"/>
      <c r="F89" s="7">
        <f t="shared" si="20"/>
        <v>0</v>
      </c>
      <c r="G89" s="3"/>
      <c r="H89" s="8">
        <v>2156</v>
      </c>
      <c r="I89" s="3"/>
      <c r="J89" s="7">
        <f t="shared" si="21"/>
        <v>1.069524022124662E-2</v>
      </c>
      <c r="K89" s="3"/>
      <c r="L89" s="8">
        <f t="shared" si="22"/>
        <v>-2156</v>
      </c>
      <c r="M89" s="3"/>
      <c r="N89" s="7">
        <f t="shared" si="23"/>
        <v>-1</v>
      </c>
      <c r="O89" s="12"/>
      <c r="P89" s="8"/>
      <c r="Q89" s="3"/>
      <c r="R89" s="7">
        <f t="shared" si="24"/>
        <v>0</v>
      </c>
      <c r="S89" s="3"/>
      <c r="T89" s="8">
        <v>15686</v>
      </c>
      <c r="U89" s="3"/>
      <c r="V89" s="7">
        <f t="shared" si="25"/>
        <v>6.0384906622052313E-3</v>
      </c>
      <c r="W89" s="3"/>
      <c r="X89" s="8">
        <f t="shared" si="26"/>
        <v>-15686</v>
      </c>
      <c r="Y89" s="3"/>
      <c r="Z89" s="7">
        <f t="shared" si="27"/>
        <v>-1</v>
      </c>
    </row>
    <row r="90" spans="1:26" s="70" customFormat="1" ht="15" hidden="1" customHeight="1" outlineLevel="2" x14ac:dyDescent="0.25">
      <c r="A90" s="25"/>
      <c r="B90" s="12" t="str">
        <f>CONCATENATE("          ","6253"," - ","ROYALTY DUE ATHLETICS-LRG")</f>
        <v xml:space="preserve">          6253 - ROYALTY DUE ATHLETICS-LRG</v>
      </c>
      <c r="C90" s="12"/>
      <c r="D90" s="8">
        <v>-3708.97</v>
      </c>
      <c r="E90" s="3"/>
      <c r="F90" s="7">
        <f t="shared" si="20"/>
        <v>-5.009341437124018E-3</v>
      </c>
      <c r="G90" s="3"/>
      <c r="H90" s="8">
        <v>0</v>
      </c>
      <c r="I90" s="3"/>
      <c r="J90" s="7">
        <f t="shared" si="21"/>
        <v>0</v>
      </c>
      <c r="K90" s="3"/>
      <c r="L90" s="8">
        <f t="shared" si="22"/>
        <v>-3708.97</v>
      </c>
      <c r="M90" s="3"/>
      <c r="N90" s="7">
        <f t="shared" si="23"/>
        <v>0</v>
      </c>
      <c r="O90" s="12"/>
      <c r="P90" s="8">
        <v>51456.52</v>
      </c>
      <c r="Q90" s="3"/>
      <c r="R90" s="7">
        <f t="shared" si="24"/>
        <v>1.1584779788430597E-2</v>
      </c>
      <c r="S90" s="3"/>
      <c r="T90" s="8">
        <v>38502</v>
      </c>
      <c r="U90" s="3"/>
      <c r="V90" s="7">
        <f t="shared" si="25"/>
        <v>1.4821749807231022E-2</v>
      </c>
      <c r="W90" s="3"/>
      <c r="X90" s="8">
        <f t="shared" si="26"/>
        <v>12954.519999999997</v>
      </c>
      <c r="Y90" s="3"/>
      <c r="Z90" s="7">
        <f t="shared" si="27"/>
        <v>0.33646356033452801</v>
      </c>
    </row>
    <row r="91" spans="1:26" s="70" customFormat="1" ht="15" hidden="1" customHeight="1" outlineLevel="2" x14ac:dyDescent="0.25">
      <c r="A91" s="25"/>
      <c r="B91" s="12" t="str">
        <f>CONCATENATE("          ","6254"," - ","ROYALTY &amp; COMMISSIONS")</f>
        <v xml:space="preserve">          6254 - ROYALTY &amp; COMMISSIONS</v>
      </c>
      <c r="C91" s="12"/>
      <c r="D91" s="8">
        <v>6293.1</v>
      </c>
      <c r="E91" s="3"/>
      <c r="F91" s="7">
        <f t="shared" si="20"/>
        <v>8.4994719822390468E-3</v>
      </c>
      <c r="G91" s="3"/>
      <c r="H91" s="8">
        <v>1000</v>
      </c>
      <c r="I91" s="3"/>
      <c r="J91" s="7">
        <f t="shared" si="21"/>
        <v>4.9606865590197686E-3</v>
      </c>
      <c r="K91" s="3"/>
      <c r="L91" s="8">
        <f t="shared" si="22"/>
        <v>5293.1</v>
      </c>
      <c r="M91" s="3"/>
      <c r="N91" s="7">
        <f t="shared" si="23"/>
        <v>5.2931000000000008</v>
      </c>
      <c r="O91" s="12"/>
      <c r="P91" s="8">
        <v>20699.490000000002</v>
      </c>
      <c r="Q91" s="3"/>
      <c r="R91" s="7">
        <f t="shared" si="24"/>
        <v>4.660226408292307E-3</v>
      </c>
      <c r="S91" s="3"/>
      <c r="T91" s="8">
        <v>4500</v>
      </c>
      <c r="U91" s="3"/>
      <c r="V91" s="7">
        <f t="shared" si="25"/>
        <v>1.732322324360802E-3</v>
      </c>
      <c r="W91" s="3"/>
      <c r="X91" s="8">
        <f t="shared" si="26"/>
        <v>16199.490000000002</v>
      </c>
      <c r="Y91" s="3"/>
      <c r="Z91" s="7">
        <f t="shared" si="27"/>
        <v>3.5998866666666669</v>
      </c>
    </row>
    <row r="92" spans="1:26" s="69" customFormat="1" ht="15" customHeight="1" outlineLevel="1" collapsed="1" x14ac:dyDescent="0.25">
      <c r="A92" s="26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2">
        <f>SUM(OSRRefD22_14x_0)</f>
        <v>0</v>
      </c>
      <c r="E92" s="2"/>
      <c r="F92" s="6">
        <f t="shared" si="20"/>
        <v>0</v>
      </c>
      <c r="G92" s="2"/>
      <c r="H92" s="2">
        <f>SUM(OSRRefH22_14x_0)</f>
        <v>100</v>
      </c>
      <c r="I92" s="2"/>
      <c r="J92" s="6">
        <f t="shared" si="21"/>
        <v>4.9606865590197684E-4</v>
      </c>
      <c r="K92" s="2"/>
      <c r="L92" s="2">
        <f t="shared" si="22"/>
        <v>-100</v>
      </c>
      <c r="M92" s="2"/>
      <c r="N92" s="6">
        <f t="shared" si="23"/>
        <v>-1</v>
      </c>
      <c r="O92" s="14"/>
      <c r="P92" s="2">
        <f>SUM(OSRRefP22_14x_0)</f>
        <v>125</v>
      </c>
      <c r="Q92" s="2"/>
      <c r="R92" s="6">
        <f t="shared" si="24"/>
        <v>2.8142157175685894E-5</v>
      </c>
      <c r="S92" s="2"/>
      <c r="T92" s="2">
        <f>SUM(OSRRefT22_14x_0)</f>
        <v>1500</v>
      </c>
      <c r="U92" s="2"/>
      <c r="V92" s="6">
        <f t="shared" si="25"/>
        <v>5.7744077478693397E-4</v>
      </c>
      <c r="W92" s="2"/>
      <c r="X92" s="2">
        <f t="shared" si="26"/>
        <v>-1375</v>
      </c>
      <c r="Y92" s="2"/>
      <c r="Z92" s="6">
        <f t="shared" si="27"/>
        <v>-0.91666666666666663</v>
      </c>
    </row>
    <row r="93" spans="1:26" s="70" customFormat="1" ht="15" hidden="1" customHeight="1" outlineLevel="2" x14ac:dyDescent="0.25">
      <c r="A93" s="25"/>
      <c r="B93" s="12" t="str">
        <f>CONCATENATE("          ","6258"," - ","MEMBERSHIP DUES")</f>
        <v xml:space="preserve">          6258 - MEMBERSHIP DUES</v>
      </c>
      <c r="C93" s="12"/>
      <c r="D93" s="8"/>
      <c r="E93" s="3"/>
      <c r="F93" s="7">
        <f t="shared" si="20"/>
        <v>0</v>
      </c>
      <c r="G93" s="3"/>
      <c r="H93" s="8">
        <v>0</v>
      </c>
      <c r="I93" s="3"/>
      <c r="J93" s="7">
        <f t="shared" si="21"/>
        <v>0</v>
      </c>
      <c r="K93" s="3"/>
      <c r="L93" s="8">
        <f t="shared" si="22"/>
        <v>0</v>
      </c>
      <c r="M93" s="3"/>
      <c r="N93" s="7">
        <f t="shared" si="23"/>
        <v>0</v>
      </c>
      <c r="O93" s="12"/>
      <c r="P93" s="8">
        <v>125</v>
      </c>
      <c r="Q93" s="3"/>
      <c r="R93" s="7">
        <f t="shared" si="24"/>
        <v>2.8142157175685894E-5</v>
      </c>
      <c r="S93" s="3"/>
      <c r="T93" s="8">
        <v>1000</v>
      </c>
      <c r="U93" s="3"/>
      <c r="V93" s="7">
        <f t="shared" si="25"/>
        <v>3.8496051652462266E-4</v>
      </c>
      <c r="W93" s="3"/>
      <c r="X93" s="8">
        <f t="shared" si="26"/>
        <v>-875</v>
      </c>
      <c r="Y93" s="3"/>
      <c r="Z93" s="7">
        <f t="shared" si="27"/>
        <v>-0.875</v>
      </c>
    </row>
    <row r="94" spans="1:26" s="70" customFormat="1" ht="15" hidden="1" customHeight="1" outlineLevel="2" x14ac:dyDescent="0.25">
      <c r="A94" s="25"/>
      <c r="B94" s="12" t="str">
        <f>CONCATENATE("          ","6275"," - ","SUBSCRIPTIONS")</f>
        <v xml:space="preserve">          6275 - SUBSCRIPTIONS</v>
      </c>
      <c r="C94" s="12"/>
      <c r="D94" s="8"/>
      <c r="E94" s="3"/>
      <c r="F94" s="7">
        <f t="shared" si="20"/>
        <v>0</v>
      </c>
      <c r="G94" s="3"/>
      <c r="H94" s="8">
        <v>100</v>
      </c>
      <c r="I94" s="3"/>
      <c r="J94" s="7">
        <f t="shared" si="21"/>
        <v>4.9606865590197684E-4</v>
      </c>
      <c r="K94" s="3"/>
      <c r="L94" s="8">
        <f t="shared" si="22"/>
        <v>-100</v>
      </c>
      <c r="M94" s="3"/>
      <c r="N94" s="7">
        <f t="shared" si="23"/>
        <v>-1</v>
      </c>
      <c r="O94" s="12"/>
      <c r="P94" s="8"/>
      <c r="Q94" s="3"/>
      <c r="R94" s="7">
        <f t="shared" si="24"/>
        <v>0</v>
      </c>
      <c r="S94" s="3"/>
      <c r="T94" s="8">
        <v>500</v>
      </c>
      <c r="U94" s="3"/>
      <c r="V94" s="7">
        <f t="shared" si="25"/>
        <v>1.9248025826231133E-4</v>
      </c>
      <c r="W94" s="3"/>
      <c r="X94" s="8">
        <f t="shared" si="26"/>
        <v>-500</v>
      </c>
      <c r="Y94" s="3"/>
      <c r="Z94" s="7">
        <f t="shared" si="27"/>
        <v>-1</v>
      </c>
    </row>
    <row r="95" spans="1:26" s="69" customFormat="1" ht="15" customHeight="1" outlineLevel="1" collapsed="1" x14ac:dyDescent="0.25">
      <c r="A95" s="26"/>
      <c r="B95" s="14" t="str">
        <f>CONCATENATE("     ","Supplies                                          ")</f>
        <v xml:space="preserve">     Supplies                                          </v>
      </c>
      <c r="C95" s="14"/>
      <c r="D95" s="2">
        <f>SUM(OSRRefD22_15x_0)</f>
        <v>3052.13</v>
      </c>
      <c r="E95" s="2"/>
      <c r="F95" s="6">
        <f t="shared" si="20"/>
        <v>4.1222121722444046E-3</v>
      </c>
      <c r="G95" s="2"/>
      <c r="H95" s="2">
        <f>SUM(OSRRefH22_15x_0)</f>
        <v>75</v>
      </c>
      <c r="I95" s="2"/>
      <c r="J95" s="6">
        <f t="shared" si="21"/>
        <v>3.720514919264826E-4</v>
      </c>
      <c r="K95" s="2"/>
      <c r="L95" s="2">
        <f t="shared" si="22"/>
        <v>2977.13</v>
      </c>
      <c r="M95" s="2"/>
      <c r="N95" s="6">
        <f t="shared" si="23"/>
        <v>39.695066666666669</v>
      </c>
      <c r="O95" s="14"/>
      <c r="P95" s="2">
        <f>SUM(OSRRefP22_15x_0)</f>
        <v>11446.14</v>
      </c>
      <c r="Q95" s="2"/>
      <c r="R95" s="6">
        <f t="shared" si="24"/>
        <v>2.5769525674792424E-3</v>
      </c>
      <c r="S95" s="2"/>
      <c r="T95" s="2">
        <f>SUM(OSRRefT22_15x_0)</f>
        <v>825</v>
      </c>
      <c r="U95" s="2"/>
      <c r="V95" s="6">
        <f t="shared" si="25"/>
        <v>3.1759242613281366E-4</v>
      </c>
      <c r="W95" s="2"/>
      <c r="X95" s="2">
        <f t="shared" si="26"/>
        <v>10621.14</v>
      </c>
      <c r="Y95" s="2"/>
      <c r="Z95" s="6">
        <f t="shared" si="27"/>
        <v>12.874109090909091</v>
      </c>
    </row>
    <row r="96" spans="1:26" s="70" customFormat="1" ht="15" hidden="1" customHeight="1" outlineLevel="2" x14ac:dyDescent="0.25">
      <c r="A96" s="25"/>
      <c r="B96" s="12" t="str">
        <f>CONCATENATE("          ","6235"," - ","COVID-19 EXPENSES")</f>
        <v xml:space="preserve">          6235 - COVID-19 EXPENSES</v>
      </c>
      <c r="C96" s="12"/>
      <c r="D96" s="8"/>
      <c r="E96" s="3"/>
      <c r="F96" s="7">
        <f t="shared" si="20"/>
        <v>0</v>
      </c>
      <c r="G96" s="3"/>
      <c r="H96" s="8">
        <v>0</v>
      </c>
      <c r="I96" s="3"/>
      <c r="J96" s="7">
        <f t="shared" si="21"/>
        <v>0</v>
      </c>
      <c r="K96" s="3"/>
      <c r="L96" s="8">
        <f t="shared" si="22"/>
        <v>0</v>
      </c>
      <c r="M96" s="3"/>
      <c r="N96" s="7">
        <f t="shared" si="23"/>
        <v>0</v>
      </c>
      <c r="O96" s="12"/>
      <c r="P96" s="8"/>
      <c r="Q96" s="3"/>
      <c r="R96" s="7">
        <f t="shared" si="24"/>
        <v>0</v>
      </c>
      <c r="S96" s="3"/>
      <c r="T96" s="8">
        <v>0</v>
      </c>
      <c r="U96" s="3"/>
      <c r="V96" s="7">
        <f t="shared" si="25"/>
        <v>0</v>
      </c>
      <c r="W96" s="3"/>
      <c r="X96" s="8">
        <f t="shared" si="26"/>
        <v>0</v>
      </c>
      <c r="Y96" s="3"/>
      <c r="Z96" s="7">
        <f t="shared" si="27"/>
        <v>0</v>
      </c>
    </row>
    <row r="97" spans="1:26" s="70" customFormat="1" ht="15" hidden="1" customHeight="1" outlineLevel="2" x14ac:dyDescent="0.25">
      <c r="A97" s="25"/>
      <c r="B97" s="12" t="str">
        <f>CONCATENATE("          ","6241"," - ","OFFICE EXPENSE")</f>
        <v xml:space="preserve">          6241 - OFFICE EXPENSE</v>
      </c>
      <c r="C97" s="12"/>
      <c r="D97" s="8">
        <v>139.19</v>
      </c>
      <c r="E97" s="3"/>
      <c r="F97" s="7">
        <f t="shared" si="20"/>
        <v>1.8799026000029443E-4</v>
      </c>
      <c r="G97" s="3"/>
      <c r="H97" s="8">
        <v>25</v>
      </c>
      <c r="I97" s="3"/>
      <c r="J97" s="7">
        <f t="shared" si="21"/>
        <v>1.2401716397549421E-4</v>
      </c>
      <c r="K97" s="3"/>
      <c r="L97" s="8">
        <f t="shared" si="22"/>
        <v>114.19</v>
      </c>
      <c r="M97" s="3"/>
      <c r="N97" s="7">
        <f t="shared" si="23"/>
        <v>4.5675999999999997</v>
      </c>
      <c r="O97" s="12"/>
      <c r="P97" s="8">
        <v>2082.08</v>
      </c>
      <c r="Q97" s="3"/>
      <c r="R97" s="7">
        <f t="shared" si="24"/>
        <v>4.6875378089881667E-4</v>
      </c>
      <c r="S97" s="3"/>
      <c r="T97" s="8">
        <v>275</v>
      </c>
      <c r="U97" s="3"/>
      <c r="V97" s="7">
        <f t="shared" si="25"/>
        <v>1.0586414204427123E-4</v>
      </c>
      <c r="W97" s="3"/>
      <c r="X97" s="8">
        <f t="shared" si="26"/>
        <v>1807.08</v>
      </c>
      <c r="Y97" s="3"/>
      <c r="Z97" s="7">
        <f t="shared" si="27"/>
        <v>6.5712000000000002</v>
      </c>
    </row>
    <row r="98" spans="1:26" s="70" customFormat="1" ht="15" hidden="1" customHeight="1" outlineLevel="2" x14ac:dyDescent="0.25">
      <c r="A98" s="25"/>
      <c r="B98" s="12" t="str">
        <f>CONCATENATE("          ","6245"," - ","PRINTING")</f>
        <v xml:space="preserve">          6245 - PRINTING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35.549999999999997</v>
      </c>
      <c r="Q98" s="3"/>
      <c r="R98" s="7">
        <f t="shared" si="24"/>
        <v>8.003629500765067E-6</v>
      </c>
      <c r="S98" s="3"/>
      <c r="T98" s="8"/>
      <c r="U98" s="3"/>
      <c r="V98" s="7">
        <f t="shared" si="25"/>
        <v>0</v>
      </c>
      <c r="W98" s="3"/>
      <c r="X98" s="8">
        <f t="shared" si="26"/>
        <v>35.549999999999997</v>
      </c>
      <c r="Y98" s="3"/>
      <c r="Z98" s="7">
        <f t="shared" si="27"/>
        <v>0</v>
      </c>
    </row>
    <row r="99" spans="1:26" s="70" customFormat="1" ht="15" hidden="1" customHeight="1" outlineLevel="2" x14ac:dyDescent="0.25">
      <c r="A99" s="25"/>
      <c r="B99" s="12" t="str">
        <f>CONCATENATE("          ","6247"," - ","STORE SUPPLIES")</f>
        <v xml:space="preserve">          6247 - STORE SUPPLIES</v>
      </c>
      <c r="C99" s="12"/>
      <c r="D99" s="8">
        <v>2912.94</v>
      </c>
      <c r="E99" s="3"/>
      <c r="F99" s="7">
        <f t="shared" si="20"/>
        <v>3.93422191224411E-3</v>
      </c>
      <c r="G99" s="3"/>
      <c r="H99" s="8">
        <v>50</v>
      </c>
      <c r="I99" s="3"/>
      <c r="J99" s="7">
        <f t="shared" si="21"/>
        <v>2.4803432795098842E-4</v>
      </c>
      <c r="K99" s="3"/>
      <c r="L99" s="8">
        <f t="shared" si="22"/>
        <v>2862.94</v>
      </c>
      <c r="M99" s="3"/>
      <c r="N99" s="7">
        <f t="shared" si="23"/>
        <v>57.258800000000001</v>
      </c>
      <c r="O99" s="12"/>
      <c r="P99" s="8">
        <v>9328.51</v>
      </c>
      <c r="Q99" s="3"/>
      <c r="R99" s="7">
        <f t="shared" si="24"/>
        <v>2.1001951570796609E-3</v>
      </c>
      <c r="S99" s="3"/>
      <c r="T99" s="8">
        <v>550</v>
      </c>
      <c r="U99" s="3"/>
      <c r="V99" s="7">
        <f t="shared" si="25"/>
        <v>2.1172828408854246E-4</v>
      </c>
      <c r="W99" s="3"/>
      <c r="X99" s="8">
        <f t="shared" si="26"/>
        <v>8778.51</v>
      </c>
      <c r="Y99" s="3"/>
      <c r="Z99" s="7">
        <f t="shared" si="27"/>
        <v>15.960927272727274</v>
      </c>
    </row>
    <row r="100" spans="1:26" s="69" customFormat="1" ht="15" customHeight="1" outlineLevel="1" collapsed="1" x14ac:dyDescent="0.25">
      <c r="A100" s="26"/>
      <c r="B100" s="14" t="str">
        <f>CONCATENATE("     ","Telephone/Data Lines                              ")</f>
        <v xml:space="preserve">     Telephone/Data Lines                              </v>
      </c>
      <c r="C100" s="14"/>
      <c r="D100" s="2">
        <f>SUM(OSRRefD22_16x_0)</f>
        <v>315.10000000000002</v>
      </c>
      <c r="E100" s="2"/>
      <c r="F100" s="6">
        <f t="shared" si="20"/>
        <v>4.2557461689843225E-4</v>
      </c>
      <c r="G100" s="2"/>
      <c r="H100" s="2">
        <f>SUM(OSRRefH22_16x_0)</f>
        <v>300</v>
      </c>
      <c r="I100" s="2"/>
      <c r="J100" s="6">
        <f t="shared" si="21"/>
        <v>1.4882059677059304E-3</v>
      </c>
      <c r="K100" s="2"/>
      <c r="L100" s="2">
        <f t="shared" si="22"/>
        <v>15.100000000000023</v>
      </c>
      <c r="M100" s="2"/>
      <c r="N100" s="6">
        <f t="shared" si="23"/>
        <v>5.033333333333341E-2</v>
      </c>
      <c r="O100" s="14"/>
      <c r="P100" s="2">
        <f>SUM(OSRRefP22_16x_0)</f>
        <v>2567.15</v>
      </c>
      <c r="Q100" s="2"/>
      <c r="R100" s="6">
        <f t="shared" si="24"/>
        <v>5.7796111034849628E-4</v>
      </c>
      <c r="S100" s="2"/>
      <c r="T100" s="2">
        <f>SUM(OSRRefT22_16x_0)</f>
        <v>3300</v>
      </c>
      <c r="U100" s="2"/>
      <c r="V100" s="6">
        <f t="shared" si="25"/>
        <v>1.2703697045312547E-3</v>
      </c>
      <c r="W100" s="2"/>
      <c r="X100" s="2">
        <f t="shared" si="26"/>
        <v>-732.84999999999991</v>
      </c>
      <c r="Y100" s="2"/>
      <c r="Z100" s="6">
        <f t="shared" si="27"/>
        <v>-0.22207575757575754</v>
      </c>
    </row>
    <row r="101" spans="1:26" s="70" customFormat="1" ht="15" hidden="1" customHeight="1" outlineLevel="2" x14ac:dyDescent="0.25">
      <c r="A101" s="25"/>
      <c r="B101" s="12" t="str">
        <f>CONCATENATE("          ","6309"," - ","TELEPHONE")</f>
        <v xml:space="preserve">          6309 - TELEPHONE</v>
      </c>
      <c r="C101" s="12"/>
      <c r="D101" s="8">
        <v>315.10000000000002</v>
      </c>
      <c r="E101" s="3"/>
      <c r="F101" s="7">
        <f t="shared" si="20"/>
        <v>4.2557461689843225E-4</v>
      </c>
      <c r="G101" s="3"/>
      <c r="H101" s="8">
        <v>300</v>
      </c>
      <c r="I101" s="3"/>
      <c r="J101" s="7">
        <f t="shared" si="21"/>
        <v>1.4882059677059304E-3</v>
      </c>
      <c r="K101" s="3"/>
      <c r="L101" s="8">
        <f t="shared" si="22"/>
        <v>15.100000000000023</v>
      </c>
      <c r="M101" s="3"/>
      <c r="N101" s="7">
        <f t="shared" si="23"/>
        <v>5.033333333333341E-2</v>
      </c>
      <c r="O101" s="12"/>
      <c r="P101" s="8">
        <v>2567.15</v>
      </c>
      <c r="Q101" s="3"/>
      <c r="R101" s="7">
        <f t="shared" si="24"/>
        <v>5.7796111034849628E-4</v>
      </c>
      <c r="S101" s="3"/>
      <c r="T101" s="8">
        <v>3300</v>
      </c>
      <c r="U101" s="3"/>
      <c r="V101" s="7">
        <f t="shared" si="25"/>
        <v>1.2703697045312547E-3</v>
      </c>
      <c r="W101" s="3"/>
      <c r="X101" s="8">
        <f t="shared" si="26"/>
        <v>-732.84999999999991</v>
      </c>
      <c r="Y101" s="3"/>
      <c r="Z101" s="7">
        <f t="shared" si="27"/>
        <v>-0.22207575757575754</v>
      </c>
    </row>
    <row r="102" spans="1:26" s="69" customFormat="1" ht="15" customHeight="1" outlineLevel="1" collapsed="1" x14ac:dyDescent="0.25">
      <c r="A102" s="26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SUM(OSRRefD22_17x_0)</f>
        <v>0</v>
      </c>
      <c r="E102" s="2"/>
      <c r="F102" s="6">
        <f t="shared" si="20"/>
        <v>0</v>
      </c>
      <c r="G102" s="2"/>
      <c r="H102" s="2">
        <f>SUM(OSRRefH22_17x_0)</f>
        <v>0</v>
      </c>
      <c r="I102" s="2"/>
      <c r="J102" s="6">
        <f t="shared" si="21"/>
        <v>0</v>
      </c>
      <c r="K102" s="2"/>
      <c r="L102" s="2">
        <f t="shared" si="22"/>
        <v>0</v>
      </c>
      <c r="M102" s="2"/>
      <c r="N102" s="6">
        <f t="shared" si="23"/>
        <v>0</v>
      </c>
      <c r="O102" s="14"/>
      <c r="P102" s="2">
        <f>SUM(OSRRefP22_17x_0)</f>
        <v>300</v>
      </c>
      <c r="Q102" s="2"/>
      <c r="R102" s="6">
        <f t="shared" si="24"/>
        <v>6.754117722164614E-5</v>
      </c>
      <c r="S102" s="2"/>
      <c r="T102" s="2">
        <f>SUM(OSRRefT22_17x_0)</f>
        <v>0</v>
      </c>
      <c r="U102" s="2"/>
      <c r="V102" s="6">
        <f t="shared" si="25"/>
        <v>0</v>
      </c>
      <c r="W102" s="2"/>
      <c r="X102" s="2">
        <f t="shared" si="26"/>
        <v>300</v>
      </c>
      <c r="Y102" s="2"/>
      <c r="Z102" s="6">
        <f t="shared" si="27"/>
        <v>0</v>
      </c>
    </row>
    <row r="103" spans="1:26" s="70" customFormat="1" ht="15" hidden="1" customHeight="1" outlineLevel="2" x14ac:dyDescent="0.25">
      <c r="A103" s="25"/>
      <c r="B103" s="12" t="str">
        <f>CONCATENATE("          ","6376"," - ","TRAINING")</f>
        <v xml:space="preserve">          6376 - TRAINING</v>
      </c>
      <c r="C103" s="12"/>
      <c r="D103" s="8"/>
      <c r="E103" s="3"/>
      <c r="F103" s="7">
        <f t="shared" si="20"/>
        <v>0</v>
      </c>
      <c r="G103" s="3"/>
      <c r="H103" s="8"/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>
        <v>300</v>
      </c>
      <c r="Q103" s="3"/>
      <c r="R103" s="7">
        <f t="shared" si="24"/>
        <v>6.754117722164614E-5</v>
      </c>
      <c r="S103" s="3"/>
      <c r="T103" s="8"/>
      <c r="U103" s="3"/>
      <c r="V103" s="7">
        <f t="shared" si="25"/>
        <v>0</v>
      </c>
      <c r="W103" s="3"/>
      <c r="X103" s="8">
        <f t="shared" si="26"/>
        <v>300</v>
      </c>
      <c r="Y103" s="3"/>
      <c r="Z103" s="7">
        <f t="shared" si="27"/>
        <v>0</v>
      </c>
    </row>
    <row r="104" spans="1:26" s="69" customFormat="1" ht="15" customHeight="1" outlineLevel="1" collapsed="1" x14ac:dyDescent="0.25">
      <c r="A104" s="26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SUM(OSRRefD22_18x_0)</f>
        <v>168.44</v>
      </c>
      <c r="E104" s="2"/>
      <c r="F104" s="6">
        <f t="shared" si="20"/>
        <v>2.2749536169588042E-4</v>
      </c>
      <c r="G104" s="2"/>
      <c r="H104" s="2">
        <f>SUM(OSRRefH22_18x_0)</f>
        <v>25</v>
      </c>
      <c r="I104" s="2"/>
      <c r="J104" s="6">
        <f t="shared" si="21"/>
        <v>1.2401716397549421E-4</v>
      </c>
      <c r="K104" s="2"/>
      <c r="L104" s="2">
        <f t="shared" si="22"/>
        <v>143.44</v>
      </c>
      <c r="M104" s="2"/>
      <c r="N104" s="6">
        <f t="shared" si="23"/>
        <v>5.7375999999999996</v>
      </c>
      <c r="O104" s="14"/>
      <c r="P104" s="2">
        <f>SUM(OSRRefP22_18x_0)</f>
        <v>245.83</v>
      </c>
      <c r="Q104" s="2"/>
      <c r="R104" s="6">
        <f t="shared" si="24"/>
        <v>5.5345491987990908E-5</v>
      </c>
      <c r="S104" s="2"/>
      <c r="T104" s="2">
        <f>SUM(OSRRefT22_18x_0)</f>
        <v>275</v>
      </c>
      <c r="U104" s="2"/>
      <c r="V104" s="6">
        <f t="shared" si="25"/>
        <v>1.0586414204427123E-4</v>
      </c>
      <c r="W104" s="2"/>
      <c r="X104" s="2">
        <f t="shared" si="26"/>
        <v>-29.169999999999987</v>
      </c>
      <c r="Y104" s="2"/>
      <c r="Z104" s="6">
        <f t="shared" si="27"/>
        <v>-0.10607272727272722</v>
      </c>
    </row>
    <row r="105" spans="1:26" s="70" customFormat="1" ht="15" hidden="1" customHeight="1" outlineLevel="2" x14ac:dyDescent="0.25">
      <c r="A105" s="25"/>
      <c r="B105" s="12" t="str">
        <f>CONCATENATE("          ","6294"," - ","TRAVEL OPERATIONAL")</f>
        <v xml:space="preserve">          6294 - TRAVEL OPERATIONAL</v>
      </c>
      <c r="C105" s="12"/>
      <c r="D105" s="8">
        <v>168.44</v>
      </c>
      <c r="E105" s="3"/>
      <c r="F105" s="7">
        <f t="shared" si="20"/>
        <v>2.2749536169588042E-4</v>
      </c>
      <c r="G105" s="3"/>
      <c r="H105" s="8">
        <v>25</v>
      </c>
      <c r="I105" s="3"/>
      <c r="J105" s="7">
        <f t="shared" si="21"/>
        <v>1.2401716397549421E-4</v>
      </c>
      <c r="K105" s="3"/>
      <c r="L105" s="8">
        <f t="shared" si="22"/>
        <v>143.44</v>
      </c>
      <c r="M105" s="3"/>
      <c r="N105" s="7">
        <f t="shared" si="23"/>
        <v>5.7375999999999996</v>
      </c>
      <c r="O105" s="12"/>
      <c r="P105" s="8">
        <v>245.83</v>
      </c>
      <c r="Q105" s="3"/>
      <c r="R105" s="7">
        <f t="shared" si="24"/>
        <v>5.5345491987990908E-5</v>
      </c>
      <c r="S105" s="3"/>
      <c r="T105" s="8">
        <v>275</v>
      </c>
      <c r="U105" s="3"/>
      <c r="V105" s="7">
        <f t="shared" si="25"/>
        <v>1.0586414204427123E-4</v>
      </c>
      <c r="W105" s="3"/>
      <c r="X105" s="8">
        <f t="shared" si="26"/>
        <v>-29.169999999999987</v>
      </c>
      <c r="Y105" s="3"/>
      <c r="Z105" s="7">
        <f t="shared" si="27"/>
        <v>-0.10607272727272722</v>
      </c>
    </row>
    <row r="106" spans="1:26" s="65" customFormat="1" ht="15" customHeight="1" x14ac:dyDescent="0.25">
      <c r="A106" s="35"/>
      <c r="B106" s="35"/>
      <c r="C106" s="35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35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63" customFormat="1" ht="15" customHeight="1" collapsed="1" x14ac:dyDescent="0.25">
      <c r="A107" s="11"/>
      <c r="B107" s="27" t="s">
        <v>291</v>
      </c>
      <c r="C107" s="11"/>
      <c r="D107" s="5">
        <f>SUM(OSRRefD25x_0)</f>
        <v>384795</v>
      </c>
      <c r="E107" s="5"/>
      <c r="F107" s="13">
        <f>IF(D$12=0,0,D107/D$12)</f>
        <v>0.51970480707531652</v>
      </c>
      <c r="G107" s="5"/>
      <c r="H107" s="5">
        <f>SUM(OSRRefH25x_0)</f>
        <v>250000</v>
      </c>
      <c r="I107" s="5"/>
      <c r="J107" s="13">
        <f>IF(H$12=0,0,H107/H$12)</f>
        <v>1.240171639754942</v>
      </c>
      <c r="K107" s="5"/>
      <c r="L107" s="5">
        <f>+D107-H107</f>
        <v>134795</v>
      </c>
      <c r="M107" s="5"/>
      <c r="N107" s="13">
        <f>IF(H107=0,0,L107/H107)</f>
        <v>0.53917999999999999</v>
      </c>
      <c r="O107" s="11"/>
      <c r="P107" s="5">
        <f>SUM(OSRRefP25x_0)</f>
        <v>752375.02999999991</v>
      </c>
      <c r="Q107" s="5"/>
      <c r="R107" s="13">
        <f>IF(P$12=0,0,P107/P$12)</f>
        <v>0.1693876507945711</v>
      </c>
      <c r="S107" s="5"/>
      <c r="T107" s="5">
        <f>SUM(OSRRefT25x_0)</f>
        <v>443672</v>
      </c>
      <c r="U107" s="5"/>
      <c r="V107" s="13">
        <f>IF(T$12=0,0,T107/T$12)</f>
        <v>0.17079620228751238</v>
      </c>
      <c r="W107" s="5"/>
      <c r="X107" s="5">
        <f>+P107-T107</f>
        <v>308703.02999999991</v>
      </c>
      <c r="Y107" s="5"/>
      <c r="Z107" s="13">
        <f>IF(T107=0,0,X107/T107)</f>
        <v>0.69579110243603359</v>
      </c>
    </row>
    <row r="108" spans="1:26" s="70" customFormat="1" ht="15" hidden="1" customHeight="1" outlineLevel="1" x14ac:dyDescent="0.25">
      <c r="A108" s="42"/>
      <c r="B108" s="12" t="str">
        <f>CONCATENATE("          ","9150"," - ","MISC. INCOME")</f>
        <v xml:space="preserve">          9150 - MISC. INCOME</v>
      </c>
      <c r="C108" s="12"/>
      <c r="D108" s="3">
        <f>--145</f>
        <v>145</v>
      </c>
      <c r="E108" s="3"/>
      <c r="F108" s="20">
        <f>IF(D$12=0,0,D108/D$12)</f>
        <v>1.9583725626871681E-4</v>
      </c>
      <c r="G108" s="3"/>
      <c r="H108" s="3">
        <v>0</v>
      </c>
      <c r="I108" s="3"/>
      <c r="J108" s="20">
        <f>IF(H$12=0,0,H108/H$12)</f>
        <v>0</v>
      </c>
      <c r="K108" s="3"/>
      <c r="L108" s="3">
        <f>+D108-H108</f>
        <v>145</v>
      </c>
      <c r="M108" s="3"/>
      <c r="N108" s="20">
        <f>IF(H108=0,0,L108/H108)</f>
        <v>0</v>
      </c>
      <c r="O108" s="12"/>
      <c r="P108" s="3">
        <f>--110905.33</f>
        <v>110905.33</v>
      </c>
      <c r="Q108" s="3"/>
      <c r="R108" s="20">
        <f>IF(P$12=0,0,P108/P$12)</f>
        <v>2.4968921827850495E-2</v>
      </c>
      <c r="S108" s="3"/>
      <c r="T108" s="3">
        <v>77006</v>
      </c>
      <c r="U108" s="3"/>
      <c r="V108" s="20">
        <f>IF(T$12=0,0,T108/T$12)</f>
        <v>2.9644269535495094E-2</v>
      </c>
      <c r="W108" s="3"/>
      <c r="X108" s="3">
        <f>+P108-T108</f>
        <v>33899.33</v>
      </c>
      <c r="Y108" s="3"/>
      <c r="Z108" s="20">
        <f>IF(T108=0,0,X108/T108)</f>
        <v>0.44021673635820585</v>
      </c>
    </row>
    <row r="109" spans="1:26" s="70" customFormat="1" ht="15" hidden="1" customHeight="1" outlineLevel="1" x14ac:dyDescent="0.25">
      <c r="A109" s="42"/>
      <c r="B109" s="12" t="str">
        <f>CONCATENATE("          ","9151"," - ","MISC. INCOME")</f>
        <v xml:space="preserve">          9151 - MISC. INCOME</v>
      </c>
      <c r="C109" s="12"/>
      <c r="D109" s="3">
        <f>0</f>
        <v>0</v>
      </c>
      <c r="E109" s="3"/>
      <c r="F109" s="20">
        <f>IF(D$12=0,0,D109/D$12)</f>
        <v>0</v>
      </c>
      <c r="G109" s="3"/>
      <c r="H109" s="3">
        <v>250000</v>
      </c>
      <c r="I109" s="3"/>
      <c r="J109" s="20">
        <f>IF(H$12=0,0,H109/H$12)</f>
        <v>1.240171639754942</v>
      </c>
      <c r="K109" s="3"/>
      <c r="L109" s="3">
        <f>+D109-H109</f>
        <v>-250000</v>
      </c>
      <c r="M109" s="3"/>
      <c r="N109" s="20">
        <f>IF(H109=0,0,L109/H109)</f>
        <v>-1</v>
      </c>
      <c r="O109" s="12"/>
      <c r="P109" s="3">
        <f>0</f>
        <v>0</v>
      </c>
      <c r="Q109" s="3"/>
      <c r="R109" s="20">
        <f>IF(P$12=0,0,P109/P$12)</f>
        <v>0</v>
      </c>
      <c r="S109" s="3"/>
      <c r="T109" s="3">
        <v>250000</v>
      </c>
      <c r="U109" s="3"/>
      <c r="V109" s="20">
        <f>IF(T$12=0,0,T109/T$12)</f>
        <v>9.6240129131155663E-2</v>
      </c>
      <c r="W109" s="3"/>
      <c r="X109" s="3">
        <f>+P109-T109</f>
        <v>-250000</v>
      </c>
      <c r="Y109" s="3"/>
      <c r="Z109" s="20">
        <f>IF(T109=0,0,X109/T109)</f>
        <v>-1</v>
      </c>
    </row>
    <row r="110" spans="1:26" s="70" customFormat="1" ht="15" hidden="1" customHeight="1" outlineLevel="1" x14ac:dyDescent="0.25">
      <c r="A110" s="42"/>
      <c r="B110" s="12" t="str">
        <f>CONCATENATE("          ","9160"," - ","MISC. INCOME")</f>
        <v xml:space="preserve">          9160 - MISC. INCOME</v>
      </c>
      <c r="C110" s="12"/>
      <c r="D110" s="3">
        <f>0</f>
        <v>0</v>
      </c>
      <c r="E110" s="3"/>
      <c r="F110" s="20">
        <f>IF(D$12=0,0,D110/D$12)</f>
        <v>0</v>
      </c>
      <c r="G110" s="3"/>
      <c r="H110" s="3"/>
      <c r="I110" s="3"/>
      <c r="J110" s="20">
        <f>IF(H$12=0,0,H110/H$12)</f>
        <v>0</v>
      </c>
      <c r="K110" s="3"/>
      <c r="L110" s="3">
        <f>+D110-H110</f>
        <v>0</v>
      </c>
      <c r="M110" s="3"/>
      <c r="N110" s="20">
        <f>IF(H110=0,0,L110/H110)</f>
        <v>0</v>
      </c>
      <c r="O110" s="12"/>
      <c r="P110" s="3">
        <f>0</f>
        <v>0</v>
      </c>
      <c r="Q110" s="3"/>
      <c r="R110" s="20">
        <f>IF(P$12=0,0,P110/P$12)</f>
        <v>0</v>
      </c>
      <c r="S110" s="3"/>
      <c r="T110" s="3">
        <v>116666</v>
      </c>
      <c r="U110" s="3"/>
      <c r="V110" s="20">
        <f>IF(T$12=0,0,T110/T$12)</f>
        <v>4.4911803620861626E-2</v>
      </c>
      <c r="W110" s="3"/>
      <c r="X110" s="3">
        <f>+P110-T110</f>
        <v>-116666</v>
      </c>
      <c r="Y110" s="3"/>
      <c r="Z110" s="20">
        <f>IF(T110=0,0,X110/T110)</f>
        <v>-1</v>
      </c>
    </row>
    <row r="111" spans="1:26" s="70" customFormat="1" ht="15" hidden="1" customHeight="1" outlineLevel="1" x14ac:dyDescent="0.25">
      <c r="A111" s="42"/>
      <c r="B111" s="12" t="str">
        <f>CONCATENATE("          ","9163"," - ","MISC. INCOME")</f>
        <v xml:space="preserve">          9163 - MISC. INCOME</v>
      </c>
      <c r="C111" s="12"/>
      <c r="D111" s="3">
        <f>--384650</f>
        <v>384650</v>
      </c>
      <c r="E111" s="3"/>
      <c r="F111" s="20">
        <f>IF(D$12=0,0,D111/D$12)</f>
        <v>0.51950896981904771</v>
      </c>
      <c r="G111" s="3"/>
      <c r="H111" s="3"/>
      <c r="I111" s="3"/>
      <c r="J111" s="20">
        <f>IF(H$12=0,0,H111/H$12)</f>
        <v>0</v>
      </c>
      <c r="K111" s="3"/>
      <c r="L111" s="3">
        <f>+D111-H111</f>
        <v>384650</v>
      </c>
      <c r="M111" s="3"/>
      <c r="N111" s="20">
        <f>IF(H111=0,0,L111/H111)</f>
        <v>0</v>
      </c>
      <c r="O111" s="12"/>
      <c r="P111" s="3">
        <f>--641469.7</f>
        <v>641469.69999999995</v>
      </c>
      <c r="Q111" s="3"/>
      <c r="R111" s="20">
        <f>IF(P$12=0,0,P111/P$12)</f>
        <v>0.14441872896672062</v>
      </c>
      <c r="S111" s="3"/>
      <c r="T111" s="3"/>
      <c r="U111" s="3"/>
      <c r="V111" s="20">
        <f>IF(T$12=0,0,T111/T$12)</f>
        <v>0</v>
      </c>
      <c r="W111" s="3"/>
      <c r="X111" s="3">
        <f>+P111-T111</f>
        <v>641469.69999999995</v>
      </c>
      <c r="Y111" s="3"/>
      <c r="Z111" s="20">
        <f>IF(T111=0,0,X111/T111)</f>
        <v>0</v>
      </c>
    </row>
    <row r="112" spans="1:26" ht="15" customHeight="1" x14ac:dyDescent="0.25">
      <c r="A112" s="10"/>
      <c r="B112" s="11"/>
      <c r="C112" s="11"/>
      <c r="D112" s="4"/>
      <c r="E112" s="4"/>
      <c r="F112" s="9"/>
      <c r="G112" s="4"/>
      <c r="H112" s="4"/>
      <c r="I112" s="4"/>
      <c r="J112" s="9"/>
      <c r="K112" s="4"/>
      <c r="L112" s="4"/>
      <c r="M112" s="4"/>
      <c r="N112" s="9"/>
      <c r="O112" s="11"/>
      <c r="P112" s="4"/>
      <c r="Q112" s="4"/>
      <c r="R112" s="9"/>
      <c r="S112" s="4"/>
      <c r="T112" s="4"/>
      <c r="U112" s="4"/>
      <c r="V112" s="9"/>
      <c r="W112" s="4"/>
      <c r="X112" s="4"/>
      <c r="Y112" s="4"/>
      <c r="Z112" s="9"/>
    </row>
    <row r="113" spans="1:26" s="63" customFormat="1" ht="15" customHeight="1" x14ac:dyDescent="0.25">
      <c r="A113" s="11"/>
      <c r="B113" s="28" t="s">
        <v>292</v>
      </c>
      <c r="C113" s="28"/>
      <c r="D113" s="22">
        <f>+D40-D42+D107</f>
        <v>710588.45</v>
      </c>
      <c r="E113" s="15"/>
      <c r="F113" s="21">
        <f>IF(D$12=0,0,D113/D$12)</f>
        <v>0.95972201644303623</v>
      </c>
      <c r="G113" s="15"/>
      <c r="H113" s="22">
        <f>+H40-H42+H107</f>
        <v>267922.92440207693</v>
      </c>
      <c r="I113" s="15"/>
      <c r="J113" s="21">
        <f>IF(H$12=0,0,H113/H$12)</f>
        <v>1.3290816499346525</v>
      </c>
      <c r="K113" s="16"/>
      <c r="L113" s="22">
        <f>+D113-H113</f>
        <v>442665.52559792303</v>
      </c>
      <c r="M113" s="16"/>
      <c r="N113" s="21">
        <f>IF(H113=0,0,L113/H113)</f>
        <v>1.6522122046324286</v>
      </c>
      <c r="O113" s="27"/>
      <c r="P113" s="22">
        <f>+P40-P42+P107</f>
        <v>2178463.6499999985</v>
      </c>
      <c r="Q113" s="15"/>
      <c r="R113" s="21">
        <f>IF(P$12=0,0,P113/P$12)</f>
        <v>0.4904533315185467</v>
      </c>
      <c r="S113" s="15"/>
      <c r="T113" s="22">
        <f>+T40-T42+T107</f>
        <v>749865.94414892304</v>
      </c>
      <c r="U113" s="15"/>
      <c r="V113" s="21">
        <f>IF(T$12=0,0,T113/T$12)</f>
        <v>0.28866878118379324</v>
      </c>
      <c r="W113" s="16"/>
      <c r="X113" s="22">
        <f>+P113-T113</f>
        <v>1428597.7058510755</v>
      </c>
      <c r="Y113" s="16"/>
      <c r="Z113" s="21">
        <f>IF(T113=0,0,X113/T113)</f>
        <v>1.9051374675676118</v>
      </c>
    </row>
    <row r="114" spans="1:26" ht="15" customHeight="1" x14ac:dyDescent="0.25">
      <c r="A114" s="10"/>
      <c r="B114" s="11"/>
      <c r="C114" s="10"/>
      <c r="D114" s="4"/>
      <c r="E114" s="4"/>
      <c r="F114" s="9"/>
      <c r="G114" s="4"/>
      <c r="H114" s="4"/>
      <c r="I114" s="4"/>
      <c r="J114" s="9"/>
      <c r="K114" s="4"/>
      <c r="L114" s="4"/>
      <c r="M114" s="4"/>
      <c r="N114" s="9"/>
      <c r="P114" s="4"/>
      <c r="Q114" s="4"/>
      <c r="R114" s="9"/>
      <c r="S114" s="4"/>
      <c r="T114" s="4"/>
      <c r="U114" s="4"/>
      <c r="V114" s="9"/>
      <c r="W114" s="4"/>
      <c r="X114" s="4"/>
      <c r="Y114" s="4"/>
      <c r="Z114" s="9"/>
    </row>
    <row r="115" spans="1:26" s="63" customFormat="1" ht="15" customHeight="1" x14ac:dyDescent="0.25">
      <c r="A115" s="49"/>
      <c r="B115" s="11" t="s">
        <v>293</v>
      </c>
      <c r="C115" s="11"/>
      <c r="D115" s="5">
        <v>80063.25</v>
      </c>
      <c r="E115" s="5"/>
      <c r="F115" s="13">
        <f>IF(D$12=0,0,D115/D$12)</f>
        <v>0.10813356695142305</v>
      </c>
      <c r="G115" s="5"/>
      <c r="H115" s="5">
        <v>27260</v>
      </c>
      <c r="I115" s="5"/>
      <c r="J115" s="13">
        <f>IF(H$12=0,0,H115/H$12)</f>
        <v>0.13522831559887888</v>
      </c>
      <c r="K115" s="5"/>
      <c r="L115" s="5">
        <f>+D115-H115</f>
        <v>52803.25</v>
      </c>
      <c r="M115" s="5"/>
      <c r="N115" s="13">
        <f>IF(H115=0,0,L115/H115)</f>
        <v>1.9370231107850331</v>
      </c>
      <c r="O115" s="11"/>
      <c r="P115" s="5">
        <v>499363.61</v>
      </c>
      <c r="Q115" s="5"/>
      <c r="R115" s="13">
        <f>IF(P$12=0,0,P115/P$12)</f>
        <v>0.11242535360350329</v>
      </c>
      <c r="S115" s="5"/>
      <c r="T115" s="5">
        <v>322013</v>
      </c>
      <c r="U115" s="5"/>
      <c r="V115" s="13">
        <f>IF(T$12=0,0,T115/T$12)</f>
        <v>0.12396229080764332</v>
      </c>
      <c r="W115" s="5"/>
      <c r="X115" s="5">
        <f>+P115-T115</f>
        <v>177350.61</v>
      </c>
      <c r="Y115" s="5"/>
      <c r="Z115" s="13">
        <f>IF(T115=0,0,X115/T115)</f>
        <v>0.55075605643250425</v>
      </c>
    </row>
    <row r="116" spans="1:26" ht="15" customHeight="1" x14ac:dyDescent="0.25">
      <c r="A116" s="10"/>
      <c r="B116" s="11"/>
      <c r="C116" s="11"/>
      <c r="D116" s="4"/>
      <c r="E116" s="4"/>
      <c r="F116" s="9"/>
      <c r="G116" s="4"/>
      <c r="H116" s="4"/>
      <c r="I116" s="4"/>
      <c r="J116" s="9"/>
      <c r="K116" s="4"/>
      <c r="L116" s="4"/>
      <c r="M116" s="4"/>
      <c r="N116" s="9"/>
      <c r="O116" s="11"/>
      <c r="P116" s="4"/>
      <c r="Q116" s="4"/>
      <c r="R116" s="9"/>
      <c r="S116" s="4"/>
      <c r="T116" s="4"/>
      <c r="U116" s="4"/>
      <c r="V116" s="9"/>
      <c r="W116" s="4"/>
      <c r="X116" s="4"/>
      <c r="Y116" s="4"/>
      <c r="Z116" s="9"/>
    </row>
    <row r="117" spans="1:26" s="63" customFormat="1" ht="15" customHeight="1" x14ac:dyDescent="0.25">
      <c r="A117" s="11"/>
      <c r="B117" s="28" t="s">
        <v>294</v>
      </c>
      <c r="C117" s="28"/>
      <c r="D117" s="34">
        <f>+D113-D115</f>
        <v>630525.19999999995</v>
      </c>
      <c r="E117" s="15"/>
      <c r="F117" s="32">
        <f>IF(D$12=0,0,D117/D$12)</f>
        <v>0.85158844949161328</v>
      </c>
      <c r="G117" s="15"/>
      <c r="H117" s="34">
        <f>+H113-H115</f>
        <v>240662.92440207693</v>
      </c>
      <c r="I117" s="15"/>
      <c r="J117" s="32">
        <f>IF(H$12=0,0,H117/H$12)</f>
        <v>1.1938533343357736</v>
      </c>
      <c r="K117" s="16"/>
      <c r="L117" s="34">
        <f>D117-H117</f>
        <v>389862.27559792303</v>
      </c>
      <c r="M117" s="16"/>
      <c r="N117" s="32">
        <f>IF(H117=0,0,L117/H117)</f>
        <v>1.6199515424593525</v>
      </c>
      <c r="O117" s="27"/>
      <c r="P117" s="34">
        <f>+P113-P115</f>
        <v>1679100.0399999986</v>
      </c>
      <c r="Q117" s="15"/>
      <c r="R117" s="32">
        <f>IF(P$12=0,0,P117/P$12)</f>
        <v>0.37802797791504344</v>
      </c>
      <c r="S117" s="15"/>
      <c r="T117" s="34">
        <f>+T113-T115</f>
        <v>427852.94414892304</v>
      </c>
      <c r="U117" s="15"/>
      <c r="V117" s="32">
        <f>IF(T$12=0,0,T117/T$12)</f>
        <v>0.16470649037614993</v>
      </c>
      <c r="W117" s="16"/>
      <c r="X117" s="34">
        <f>P117-T117</f>
        <v>1251247.0958510756</v>
      </c>
      <c r="Y117" s="16"/>
      <c r="Z117" s="32">
        <f>IF(T117=0,0,X117/T117)</f>
        <v>2.9244793403023848</v>
      </c>
    </row>
    <row r="118" spans="1:26" ht="15" customHeight="1" x14ac:dyDescent="0.25">
      <c r="A118" s="10"/>
      <c r="B118" s="10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ht="15" customHeight="1" x14ac:dyDescent="0.25">
      <c r="A119" s="10"/>
      <c r="B119" s="10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25">
      <c r="A120" s="11"/>
      <c r="B120" s="28" t="s">
        <v>297</v>
      </c>
      <c r="C120" s="28"/>
      <c r="D120" s="30">
        <f>SUM(D117:D119)</f>
        <v>630525.19999999995</v>
      </c>
      <c r="E120" s="15"/>
      <c r="F120" s="33">
        <f>IF(D$12=0,0,D120/D$12)</f>
        <v>0.85158844949161328</v>
      </c>
      <c r="G120" s="15"/>
      <c r="H120" s="30">
        <f>SUM(H117:H119)</f>
        <v>240662.92440207693</v>
      </c>
      <c r="I120" s="15"/>
      <c r="J120" s="33">
        <f>IF(H$12=0,0,H120/H$12)</f>
        <v>1.1938533343357736</v>
      </c>
      <c r="K120" s="16"/>
      <c r="L120" s="30">
        <f>+D120-H120</f>
        <v>389862.27559792303</v>
      </c>
      <c r="M120" s="16"/>
      <c r="N120" s="33">
        <f>IF(H120=0,0,L120/H120)</f>
        <v>1.6199515424593525</v>
      </c>
      <c r="O120" s="27"/>
      <c r="P120" s="30">
        <f>SUM(P117:P119)</f>
        <v>1679100.0399999986</v>
      </c>
      <c r="Q120" s="15"/>
      <c r="R120" s="33">
        <f>IF(P$12=0,0,P120/P$12)</f>
        <v>0.37802797791504344</v>
      </c>
      <c r="S120" s="15"/>
      <c r="T120" s="30">
        <f>SUM(T117:T119)</f>
        <v>427852.94414892304</v>
      </c>
      <c r="U120" s="15"/>
      <c r="V120" s="33">
        <f>IF(T$12=0,0,T120/T$12)</f>
        <v>0.16470649037614993</v>
      </c>
      <c r="W120" s="16"/>
      <c r="X120" s="30">
        <f>+P120-T120</f>
        <v>1251247.0958510756</v>
      </c>
      <c r="Y120" s="16"/>
      <c r="Z120" s="33">
        <f>IF(T120=0,0,X120/T120)</f>
        <v>2.9244793403023848</v>
      </c>
    </row>
    <row r="121" spans="1:26" ht="15" customHeight="1" x14ac:dyDescent="0.25">
      <c r="A121" s="10"/>
      <c r="C121" s="10"/>
      <c r="D121" s="18"/>
      <c r="E121" s="18"/>
      <c r="G121" s="18"/>
      <c r="H121" s="18"/>
      <c r="I121" s="18"/>
      <c r="J121" s="40"/>
      <c r="K121" s="18"/>
      <c r="L121" s="18"/>
      <c r="M121" s="18"/>
      <c r="P121" s="18"/>
      <c r="Q121" s="18"/>
      <c r="R121" s="40"/>
      <c r="S121" s="18"/>
      <c r="T121" s="18"/>
      <c r="U121" s="18"/>
      <c r="V121" s="40"/>
      <c r="W121" s="18"/>
      <c r="X121" s="18"/>
    </row>
    <row r="122" spans="1:26" ht="15" customHeight="1" x14ac:dyDescent="0.25">
      <c r="A122" s="10"/>
      <c r="B122" s="54">
        <v>44727.874527581022</v>
      </c>
      <c r="D122" s="18"/>
      <c r="E122" s="18"/>
      <c r="G122" s="18"/>
      <c r="H122" s="18"/>
      <c r="I122" s="18"/>
      <c r="J122" s="40"/>
      <c r="K122" s="18"/>
      <c r="L122" s="18"/>
      <c r="M122" s="18"/>
      <c r="P122" s="18"/>
      <c r="Q122" s="18"/>
      <c r="R122" s="40"/>
      <c r="S122" s="18"/>
      <c r="T122" s="18"/>
      <c r="U122" s="18"/>
      <c r="V122" s="40"/>
      <c r="W122" s="18"/>
      <c r="X122" s="18"/>
    </row>
    <row r="123" spans="1:26" ht="15" customHeight="1" x14ac:dyDescent="0.25">
      <c r="A123" s="10"/>
      <c r="B123" s="50" t="s">
        <v>298</v>
      </c>
      <c r="D123" s="18"/>
      <c r="E123" s="18"/>
      <c r="G123" s="18"/>
      <c r="H123" s="18"/>
      <c r="I123" s="18"/>
      <c r="J123" s="40"/>
      <c r="K123" s="18"/>
      <c r="L123" s="18"/>
      <c r="M123" s="18"/>
      <c r="P123" s="18"/>
      <c r="Q123" s="18"/>
      <c r="R123" s="40"/>
      <c r="S123" s="18"/>
      <c r="T123" s="18"/>
      <c r="U123" s="18"/>
      <c r="V123" s="40"/>
      <c r="W123" s="18"/>
      <c r="X123" s="18"/>
    </row>
    <row r="124" spans="1:26" ht="15" customHeight="1" x14ac:dyDescent="0.25">
      <c r="A124" s="10"/>
      <c r="B124" s="58"/>
      <c r="D124" s="18"/>
      <c r="E124" s="18"/>
      <c r="G124" s="18"/>
      <c r="H124" s="18"/>
      <c r="I124" s="18"/>
      <c r="J124" s="40"/>
      <c r="K124" s="18"/>
      <c r="L124" s="18"/>
      <c r="M124" s="18"/>
      <c r="P124" s="18"/>
      <c r="Q124" s="18"/>
      <c r="R124" s="40"/>
      <c r="S124" s="18"/>
      <c r="T124" s="18"/>
      <c r="U124" s="18"/>
      <c r="V124" s="40"/>
      <c r="W124" s="18"/>
      <c r="X124" s="18"/>
    </row>
    <row r="125" spans="1:26" ht="15" customHeight="1" x14ac:dyDescent="0.25">
      <c r="D125" s="18"/>
      <c r="E125" s="18"/>
      <c r="G125" s="18"/>
      <c r="H125" s="18"/>
      <c r="I125" s="18"/>
      <c r="J125" s="40"/>
      <c r="K125" s="18"/>
      <c r="L125" s="18"/>
      <c r="M125" s="18"/>
      <c r="P125" s="18"/>
      <c r="Q125" s="18"/>
      <c r="R125" s="40"/>
      <c r="S125" s="18"/>
      <c r="T125" s="18"/>
      <c r="U125" s="18"/>
      <c r="V125" s="40"/>
      <c r="W125" s="18"/>
      <c r="X12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ED442-65A3-AD38-5CCD-02B6C7D5F13E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","326"," - ","2nd Street Store")</f>
        <v>Department 326 - 2nd Street Store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41673.31</v>
      </c>
      <c r="E12" s="5"/>
      <c r="F12" s="13"/>
      <c r="G12" s="5"/>
      <c r="H12" s="5">
        <f>SUM(OSRRefH13x_0)</f>
        <v>62718</v>
      </c>
      <c r="I12" s="5"/>
      <c r="J12" s="13"/>
      <c r="K12" s="5"/>
      <c r="L12" s="5">
        <f>+D12-H12</f>
        <v>-21044.690000000002</v>
      </c>
      <c r="M12" s="5"/>
      <c r="N12" s="13">
        <f>IF(H12=0,0,L12/H12)</f>
        <v>-0.33554466022513479</v>
      </c>
      <c r="O12" s="11"/>
      <c r="P12" s="5">
        <f>SUM(OSRRefP13x_0)</f>
        <v>378090.23999999999</v>
      </c>
      <c r="Q12" s="5"/>
      <c r="R12" s="13"/>
      <c r="S12" s="5"/>
      <c r="T12" s="5">
        <f>SUM(OSRRefT13x_0)</f>
        <v>366051</v>
      </c>
      <c r="U12" s="5"/>
      <c r="V12" s="13"/>
      <c r="W12" s="5"/>
      <c r="X12" s="5">
        <f>+P12-T12</f>
        <v>12039.239999999991</v>
      </c>
      <c r="Y12" s="5"/>
      <c r="Z12" s="13">
        <f>IF(T12=0,0,X12/T12)</f>
        <v>3.2889515395395696E-2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--45026.36</f>
        <v>45026.36</v>
      </c>
      <c r="E13" s="3"/>
      <c r="F13" s="20"/>
      <c r="G13" s="3"/>
      <c r="H13" s="3">
        <v>62718</v>
      </c>
      <c r="I13" s="3"/>
      <c r="J13" s="20"/>
      <c r="K13" s="3"/>
      <c r="L13" s="3">
        <f>+D13-H13</f>
        <v>-17691.64</v>
      </c>
      <c r="M13" s="3"/>
      <c r="N13" s="20">
        <f>IF(H13=0,0,L13/H13)</f>
        <v>-0.28208233680920947</v>
      </c>
      <c r="O13" s="12"/>
      <c r="P13" s="3">
        <f>--402190.39</f>
        <v>402190.39</v>
      </c>
      <c r="Q13" s="3"/>
      <c r="R13" s="20"/>
      <c r="S13" s="3"/>
      <c r="T13" s="3">
        <v>366051</v>
      </c>
      <c r="U13" s="3"/>
      <c r="V13" s="20"/>
      <c r="W13" s="3"/>
      <c r="X13" s="3">
        <f>+P13-T13</f>
        <v>36139.390000000014</v>
      </c>
      <c r="Y13" s="3"/>
      <c r="Z13" s="20">
        <f>IF(T13=0,0,X13/T13)</f>
        <v>9.8727745587363552E-2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--9.52</f>
        <v>9.52</v>
      </c>
      <c r="E14" s="3"/>
      <c r="F14" s="20"/>
      <c r="G14" s="3"/>
      <c r="H14" s="3"/>
      <c r="I14" s="3"/>
      <c r="J14" s="20"/>
      <c r="K14" s="3"/>
      <c r="L14" s="3">
        <f>+D14-H14</f>
        <v>9.52</v>
      </c>
      <c r="M14" s="3"/>
      <c r="N14" s="20">
        <f>IF(H14=0,0,L14/H14)</f>
        <v>0</v>
      </c>
      <c r="O14" s="12"/>
      <c r="P14" s="3">
        <f>--270.41</f>
        <v>270.41000000000003</v>
      </c>
      <c r="Q14" s="3"/>
      <c r="R14" s="20"/>
      <c r="S14" s="3"/>
      <c r="T14" s="3"/>
      <c r="U14" s="3"/>
      <c r="V14" s="20"/>
      <c r="W14" s="3"/>
      <c r="X14" s="3">
        <f>+P14-T14</f>
        <v>270.41000000000003</v>
      </c>
      <c r="Y14" s="3"/>
      <c r="Z14" s="20">
        <f>IF(T14=0,0,X14/T14)</f>
        <v>0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-2193.07</f>
        <v>-2193.0700000000002</v>
      </c>
      <c r="E15" s="3"/>
      <c r="F15" s="20"/>
      <c r="G15" s="3"/>
      <c r="H15" s="3"/>
      <c r="I15" s="3"/>
      <c r="J15" s="20"/>
      <c r="K15" s="3"/>
      <c r="L15" s="3">
        <f>+D15-H15</f>
        <v>-2193.0700000000002</v>
      </c>
      <c r="M15" s="3"/>
      <c r="N15" s="20">
        <f>IF(H15=0,0,L15/H15)</f>
        <v>0</v>
      </c>
      <c r="O15" s="12"/>
      <c r="P15" s="3">
        <f>-16409.96</f>
        <v>-16409.96</v>
      </c>
      <c r="Q15" s="3"/>
      <c r="R15" s="20"/>
      <c r="S15" s="3"/>
      <c r="T15" s="3"/>
      <c r="U15" s="3"/>
      <c r="V15" s="20"/>
      <c r="W15" s="3"/>
      <c r="X15" s="3">
        <f>+P15-T15</f>
        <v>-16409.96</v>
      </c>
      <c r="Y15" s="3"/>
      <c r="Z15" s="20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","4500"," - ","SALES DISCOUNT")</f>
        <v xml:space="preserve">          4500 - SALES DISCOUNT</v>
      </c>
      <c r="C16" s="12"/>
      <c r="D16" s="3">
        <f>-1169.5</f>
        <v>-1169.5</v>
      </c>
      <c r="E16" s="3"/>
      <c r="F16" s="20"/>
      <c r="G16" s="3"/>
      <c r="H16" s="3"/>
      <c r="I16" s="3"/>
      <c r="J16" s="20"/>
      <c r="K16" s="3"/>
      <c r="L16" s="3">
        <f>+D16-H16</f>
        <v>-1169.5</v>
      </c>
      <c r="M16" s="3"/>
      <c r="N16" s="20">
        <f>IF(H16=0,0,L16/H16)</f>
        <v>0</v>
      </c>
      <c r="O16" s="12"/>
      <c r="P16" s="3">
        <f>-7960.6</f>
        <v>-7960.6</v>
      </c>
      <c r="Q16" s="3"/>
      <c r="R16" s="20"/>
      <c r="S16" s="3"/>
      <c r="T16" s="3"/>
      <c r="U16" s="3"/>
      <c r="V16" s="20"/>
      <c r="W16" s="3"/>
      <c r="X16" s="3">
        <f>+P16-T16</f>
        <v>-7960.6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18522.48</v>
      </c>
      <c r="E18" s="5"/>
      <c r="F18" s="13">
        <f>IF(D$12=0,0,D18/D$12)</f>
        <v>0.44446865391781937</v>
      </c>
      <c r="G18" s="5"/>
      <c r="H18" s="5">
        <f>SUM(OSRRefH16x_0)</f>
        <v>28223</v>
      </c>
      <c r="I18" s="5"/>
      <c r="J18" s="13">
        <f>IF(H$12=0,0,H18/H$12)</f>
        <v>0.4499984055614018</v>
      </c>
      <c r="K18" s="5"/>
      <c r="L18" s="5">
        <f>+D18-H18</f>
        <v>-9700.52</v>
      </c>
      <c r="M18" s="5"/>
      <c r="N18" s="13">
        <f>IF(H18=0,0,L18/H18)</f>
        <v>-0.34370974028274814</v>
      </c>
      <c r="O18" s="11"/>
      <c r="P18" s="5">
        <f>SUM(OSRRefP16x_0)</f>
        <v>172945.19</v>
      </c>
      <c r="Q18" s="5"/>
      <c r="R18" s="13">
        <f>IF(P$12=0,0,P18/P$12)</f>
        <v>0.4574177582579228</v>
      </c>
      <c r="S18" s="5"/>
      <c r="T18" s="5">
        <f>SUM(OSRRefT16x_0)</f>
        <v>164725</v>
      </c>
      <c r="U18" s="5"/>
      <c r="V18" s="13">
        <f>IF(T$12=0,0,T18/T$12)</f>
        <v>0.45000560031252473</v>
      </c>
      <c r="W18" s="5"/>
      <c r="X18" s="5">
        <f>+P18-T18</f>
        <v>8220.1900000000023</v>
      </c>
      <c r="Y18" s="5"/>
      <c r="Z18" s="13">
        <f>IF(T18=0,0,X18/T18)</f>
        <v>4.9902504173622721E-2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>
        <v>93.15</v>
      </c>
      <c r="E19" s="3"/>
      <c r="F19" s="20">
        <f>IF(D$12=0,0,D19/D$12)</f>
        <v>2.2352436127583823E-3</v>
      </c>
      <c r="G19" s="3"/>
      <c r="H19" s="3">
        <v>28223</v>
      </c>
      <c r="I19" s="3"/>
      <c r="J19" s="20">
        <f>IF(H$12=0,0,H19/H$12)</f>
        <v>0.4499984055614018</v>
      </c>
      <c r="K19" s="3"/>
      <c r="L19" s="3">
        <f>+D19-H19</f>
        <v>-28129.85</v>
      </c>
      <c r="M19" s="3"/>
      <c r="N19" s="20">
        <f>IF(H19=0,0,L19/H19)</f>
        <v>-0.99669950040746902</v>
      </c>
      <c r="O19" s="12"/>
      <c r="P19" s="3">
        <v>5654.8</v>
      </c>
      <c r="Q19" s="3"/>
      <c r="R19" s="20">
        <f>IF(P$12=0,0,P19/P$12)</f>
        <v>1.4956217859524754E-2</v>
      </c>
      <c r="S19" s="3"/>
      <c r="T19" s="3">
        <v>164725</v>
      </c>
      <c r="U19" s="3"/>
      <c r="V19" s="20">
        <f>IF(T$12=0,0,T19/T$12)</f>
        <v>0.45000560031252473</v>
      </c>
      <c r="W19" s="3"/>
      <c r="X19" s="3">
        <f>+P19-T19</f>
        <v>-159070.20000000001</v>
      </c>
      <c r="Y19" s="3"/>
      <c r="Z19" s="20">
        <f>IF(T19=0,0,X19/T19)</f>
        <v>-0.96567127029898325</v>
      </c>
    </row>
    <row r="20" spans="1:26" s="70" customFormat="1" ht="15" hidden="1" customHeight="1" outlineLevel="1" x14ac:dyDescent="0.25">
      <c r="A20" s="42"/>
      <c r="B20" s="12" t="str">
        <f>CONCATENATE("          ","5200"," - ","PURCHASES OFFSET")</f>
        <v xml:space="preserve">          5200 - PURCHASES OFFSET</v>
      </c>
      <c r="C20" s="12"/>
      <c r="D20" s="3">
        <v>-93.15</v>
      </c>
      <c r="E20" s="3"/>
      <c r="F20" s="20">
        <f>IF(D$12=0,0,D20/D$12)</f>
        <v>-2.2352436127583823E-3</v>
      </c>
      <c r="G20" s="3"/>
      <c r="H20" s="3"/>
      <c r="I20" s="3"/>
      <c r="J20" s="20">
        <f>IF(H$12=0,0,H20/H$12)</f>
        <v>0</v>
      </c>
      <c r="K20" s="3"/>
      <c r="L20" s="3">
        <f>+D20-H20</f>
        <v>-93.15</v>
      </c>
      <c r="M20" s="3"/>
      <c r="N20" s="20">
        <f>IF(H20=0,0,L20/H20)</f>
        <v>0</v>
      </c>
      <c r="O20" s="12"/>
      <c r="P20" s="3">
        <v>-5747.79</v>
      </c>
      <c r="Q20" s="3"/>
      <c r="R20" s="20">
        <f>IF(P$12=0,0,P20/P$12)</f>
        <v>-1.5202164435664883E-2</v>
      </c>
      <c r="S20" s="3"/>
      <c r="T20" s="3"/>
      <c r="U20" s="3"/>
      <c r="V20" s="20">
        <f>IF(T$12=0,0,T20/T$12)</f>
        <v>0</v>
      </c>
      <c r="W20" s="3"/>
      <c r="X20" s="3">
        <f>+P20-T20</f>
        <v>-5747.79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","5300"," - ","COG$ OFFSET")</f>
        <v xml:space="preserve">          5300 - COG$ OFFSET</v>
      </c>
      <c r="C21" s="12"/>
      <c r="D21" s="3">
        <v>18522.48</v>
      </c>
      <c r="E21" s="3"/>
      <c r="F21" s="20">
        <f>IF(D$12=0,0,D21/D$12)</f>
        <v>0.44446865391781937</v>
      </c>
      <c r="G21" s="3"/>
      <c r="H21" s="3"/>
      <c r="I21" s="3"/>
      <c r="J21" s="20">
        <f>IF(H$12=0,0,H21/H$12)</f>
        <v>0</v>
      </c>
      <c r="K21" s="3"/>
      <c r="L21" s="3">
        <f>+D21-H21</f>
        <v>18522.48</v>
      </c>
      <c r="M21" s="3"/>
      <c r="N21" s="20">
        <f>IF(H21=0,0,L21/H21)</f>
        <v>0</v>
      </c>
      <c r="O21" s="12"/>
      <c r="P21" s="3">
        <v>172945.19</v>
      </c>
      <c r="Q21" s="3"/>
      <c r="R21" s="20">
        <f>IF(P$12=0,0,P21/P$12)</f>
        <v>0.4574177582579228</v>
      </c>
      <c r="S21" s="3"/>
      <c r="T21" s="3"/>
      <c r="U21" s="3"/>
      <c r="V21" s="20">
        <f>IF(T$12=0,0,T21/T$12)</f>
        <v>0</v>
      </c>
      <c r="W21" s="3"/>
      <c r="X21" s="3">
        <f>+P21-T21</f>
        <v>172945.19</v>
      </c>
      <c r="Y21" s="3"/>
      <c r="Z21" s="20">
        <f>IF(T21=0,0,X21/T21)</f>
        <v>0</v>
      </c>
    </row>
    <row r="22" spans="1:26" s="70" customFormat="1" ht="15" hidden="1" customHeight="1" outlineLevel="1" x14ac:dyDescent="0.25">
      <c r="A22" s="42"/>
      <c r="B22" s="12" t="str">
        <f>CONCATENATE("          ","5500"," - ","FREIGHT-IN")</f>
        <v xml:space="preserve">          5500 - FREIGHT-IN</v>
      </c>
      <c r="C22" s="12"/>
      <c r="D22" s="3"/>
      <c r="E22" s="3"/>
      <c r="F22" s="20">
        <f>IF(D$12=0,0,D22/D$12)</f>
        <v>0</v>
      </c>
      <c r="G22" s="3"/>
      <c r="H22" s="3"/>
      <c r="I22" s="3"/>
      <c r="J22" s="20">
        <f>IF(H$12=0,0,H22/H$12)</f>
        <v>0</v>
      </c>
      <c r="K22" s="3"/>
      <c r="L22" s="3">
        <f>+D22-H22</f>
        <v>0</v>
      </c>
      <c r="M22" s="3"/>
      <c r="N22" s="20">
        <f>IF(H22=0,0,L22/H22)</f>
        <v>0</v>
      </c>
      <c r="O22" s="12"/>
      <c r="P22" s="3">
        <v>92.99</v>
      </c>
      <c r="Q22" s="3"/>
      <c r="R22" s="20">
        <f>IF(P$12=0,0,P22/P$12)</f>
        <v>2.4594657614012994E-4</v>
      </c>
      <c r="S22" s="3"/>
      <c r="T22" s="3"/>
      <c r="U22" s="3"/>
      <c r="V22" s="20">
        <f>IF(T$12=0,0,T22/T$12)</f>
        <v>0</v>
      </c>
      <c r="W22" s="3"/>
      <c r="X22" s="3">
        <f>+P22-T22</f>
        <v>92.99</v>
      </c>
      <c r="Y22" s="3"/>
      <c r="Z22" s="20">
        <f>IF(T22=0,0,X22/T22)</f>
        <v>0</v>
      </c>
    </row>
    <row r="23" spans="1:26" ht="15" customHeight="1" x14ac:dyDescent="0.25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25">
      <c r="A24" s="11"/>
      <c r="B24" s="28" t="s">
        <v>289</v>
      </c>
      <c r="C24" s="28"/>
      <c r="D24" s="22">
        <f>D12-D18</f>
        <v>23150.829999999998</v>
      </c>
      <c r="E24" s="15"/>
      <c r="F24" s="21">
        <f>IF(D$12=0,0,D24/D$12)</f>
        <v>0.55553134608218069</v>
      </c>
      <c r="G24" s="15"/>
      <c r="H24" s="22">
        <f>H12-H18</f>
        <v>34495</v>
      </c>
      <c r="I24" s="15"/>
      <c r="J24" s="21">
        <f>IF(H$12=0,0,H24/H$12)</f>
        <v>0.5500015944385982</v>
      </c>
      <c r="K24" s="16"/>
      <c r="L24" s="22">
        <f>+D24-H24</f>
        <v>-11344.170000000002</v>
      </c>
      <c r="M24" s="16"/>
      <c r="N24" s="21">
        <f>IF(H24=0,0,L24/H24)</f>
        <v>-0.32886418321495875</v>
      </c>
      <c r="O24" s="27"/>
      <c r="P24" s="22">
        <f>P12-P18</f>
        <v>205145.05</v>
      </c>
      <c r="Q24" s="15"/>
      <c r="R24" s="21">
        <f>IF(P$12=0,0,P24/P$12)</f>
        <v>0.54258224174207725</v>
      </c>
      <c r="S24" s="15"/>
      <c r="T24" s="22">
        <f>T12-T18</f>
        <v>201326</v>
      </c>
      <c r="U24" s="15"/>
      <c r="V24" s="21">
        <f>IF(T$12=0,0,T24/T$12)</f>
        <v>0.54999439968747521</v>
      </c>
      <c r="W24" s="16"/>
      <c r="X24" s="22">
        <f>+P24-T24</f>
        <v>3819.0499999999884</v>
      </c>
      <c r="Y24" s="16"/>
      <c r="Z24" s="21">
        <f>IF(T24=0,0,X24/T24)</f>
        <v>1.8969482332137869E-2</v>
      </c>
    </row>
    <row r="25" spans="1:26" ht="15" customHeight="1" x14ac:dyDescent="0.25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25">
      <c r="A26" s="11"/>
      <c r="B26" s="27" t="s">
        <v>290</v>
      </c>
      <c r="C26" s="11"/>
      <c r="D26" s="23" cm="1">
        <f t="array" ref="D26">SUM(OSRRefD22x_0)</f>
        <v>18057.329999999998</v>
      </c>
      <c r="E26" s="23"/>
      <c r="F26" s="31">
        <f t="shared" ref="F26:F57" si="0">IF(D$12=0,0,D26/D$12)</f>
        <v>0.43330683355845739</v>
      </c>
      <c r="G26" s="23"/>
      <c r="H26" s="23" cm="1">
        <f t="array" ref="H26">SUM(OSRRefH22x_0)</f>
        <v>21364.02714396923</v>
      </c>
      <c r="I26" s="23"/>
      <c r="J26" s="31">
        <f t="shared" ref="J26:J57" si="1">IF(H$12=0,0,H26/H$12)</f>
        <v>0.34063629490687253</v>
      </c>
      <c r="K26" s="5"/>
      <c r="L26" s="23">
        <f t="shared" ref="L26:L57" si="2">+D26-H26</f>
        <v>-3306.6971439692315</v>
      </c>
      <c r="M26" s="5"/>
      <c r="N26" s="31">
        <f t="shared" ref="N26:N57" si="3">IF(H26=0,0,L26/H26)</f>
        <v>-0.15477873725238486</v>
      </c>
      <c r="O26" s="11"/>
      <c r="P26" s="23" cm="1">
        <f t="array" ref="P26">SUM(OSRRefP22x_0)</f>
        <v>194859.67000000007</v>
      </c>
      <c r="Q26" s="23"/>
      <c r="R26" s="31">
        <f t="shared" ref="R26:R57" si="4">IF(P$12=0,0,P26/P$12)</f>
        <v>0.51537873603931184</v>
      </c>
      <c r="S26" s="23"/>
      <c r="T26" s="23" cm="1">
        <f t="array" ref="T26">SUM(OSRRefT22x_0)</f>
        <v>245314.99296183078</v>
      </c>
      <c r="U26" s="23"/>
      <c r="V26" s="31">
        <f t="shared" ref="V26:V57" si="5">IF(T$12=0,0,T26/T$12)</f>
        <v>0.67016615980240668</v>
      </c>
      <c r="W26" s="5"/>
      <c r="X26" s="23">
        <f t="shared" ref="X26:X57" si="6">+P26-T26</f>
        <v>-50455.322961830709</v>
      </c>
      <c r="Y26" s="5"/>
      <c r="Z26" s="31">
        <f t="shared" ref="Z26:Z57" si="7">IF(T26=0,0,X26/T26)</f>
        <v>-0.20567565949660968</v>
      </c>
    </row>
    <row r="27" spans="1:26" s="69" customFormat="1" ht="15" customHeight="1" outlineLevel="1" collapsed="1" x14ac:dyDescent="0.25">
      <c r="A27" s="26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1375.4000000000003</v>
      </c>
      <c r="E27" s="2"/>
      <c r="F27" s="6">
        <f t="shared" si="0"/>
        <v>3.3004337788383027E-2</v>
      </c>
      <c r="G27" s="2"/>
      <c r="H27" s="2">
        <f>SUM(OSRRefH22_0x_0)</f>
        <v>2543.991451661539</v>
      </c>
      <c r="I27" s="2"/>
      <c r="J27" s="6">
        <f t="shared" si="1"/>
        <v>4.0562381639426305E-2</v>
      </c>
      <c r="K27" s="2"/>
      <c r="L27" s="2">
        <f t="shared" si="2"/>
        <v>-1168.5914516615387</v>
      </c>
      <c r="M27" s="2"/>
      <c r="N27" s="6">
        <f t="shared" si="3"/>
        <v>-0.45935352923387573</v>
      </c>
      <c r="O27" s="14"/>
      <c r="P27" s="2">
        <f>SUM(OSRRefP22_0x_0)</f>
        <v>14232.470000000001</v>
      </c>
      <c r="Q27" s="2"/>
      <c r="R27" s="6">
        <f t="shared" si="4"/>
        <v>3.7643050505614749E-2</v>
      </c>
      <c r="S27" s="2"/>
      <c r="T27" s="2">
        <f>SUM(OSRRefT22_0x_0)</f>
        <v>29885.221654138459</v>
      </c>
      <c r="U27" s="2"/>
      <c r="V27" s="6">
        <f t="shared" si="5"/>
        <v>8.1642234699914648E-2</v>
      </c>
      <c r="W27" s="2"/>
      <c r="X27" s="2">
        <f t="shared" si="6"/>
        <v>-15652.751654138458</v>
      </c>
      <c r="Y27" s="2"/>
      <c r="Z27" s="6">
        <f t="shared" si="7"/>
        <v>-0.52376227405262987</v>
      </c>
    </row>
    <row r="28" spans="1:26" s="70" customFormat="1" ht="15" hidden="1" customHeight="1" outlineLevel="2" x14ac:dyDescent="0.25">
      <c r="A28" s="25"/>
      <c r="B28" s="12" t="str">
        <f>CONCATENATE("          ","6111"," - ","F.I.C.A.")</f>
        <v xml:space="preserve">          6111 - F.I.C.A.</v>
      </c>
      <c r="C28" s="12"/>
      <c r="D28" s="8">
        <v>232.04</v>
      </c>
      <c r="E28" s="3"/>
      <c r="F28" s="7">
        <f t="shared" si="0"/>
        <v>5.5680722265641965E-3</v>
      </c>
      <c r="G28" s="3"/>
      <c r="H28" s="8">
        <v>592.20220896923104</v>
      </c>
      <c r="I28" s="3"/>
      <c r="J28" s="7">
        <f t="shared" si="1"/>
        <v>9.44230059901832E-3</v>
      </c>
      <c r="K28" s="3"/>
      <c r="L28" s="8">
        <f t="shared" si="2"/>
        <v>-360.16220896923107</v>
      </c>
      <c r="M28" s="3"/>
      <c r="N28" s="7">
        <f t="shared" si="3"/>
        <v>-0.60817437610730685</v>
      </c>
      <c r="O28" s="12"/>
      <c r="P28" s="8">
        <v>2647.88</v>
      </c>
      <c r="Q28" s="3"/>
      <c r="R28" s="7">
        <f t="shared" si="4"/>
        <v>7.0033016456600419E-3</v>
      </c>
      <c r="S28" s="3"/>
      <c r="T28" s="8">
        <v>7472.1166943307699</v>
      </c>
      <c r="U28" s="3"/>
      <c r="V28" s="7">
        <f t="shared" si="5"/>
        <v>2.0412774980346372E-2</v>
      </c>
      <c r="W28" s="3"/>
      <c r="X28" s="8">
        <f t="shared" si="6"/>
        <v>-4824.2366943307698</v>
      </c>
      <c r="Y28" s="3"/>
      <c r="Z28" s="7">
        <f t="shared" si="7"/>
        <v>-0.64563187269157685</v>
      </c>
    </row>
    <row r="29" spans="1:26" s="70" customFormat="1" ht="15" hidden="1" customHeight="1" outlineLevel="2" x14ac:dyDescent="0.25">
      <c r="A29" s="25"/>
      <c r="B29" s="12" t="str">
        <f>CONCATENATE("          ","6112"," - ","COMPENSATION INSURANCE")</f>
        <v xml:space="preserve">          6112 - COMPENSATION INSURANCE</v>
      </c>
      <c r="C29" s="12"/>
      <c r="D29" s="8">
        <v>179.83</v>
      </c>
      <c r="E29" s="3"/>
      <c r="F29" s="7">
        <f t="shared" si="0"/>
        <v>4.3152319794132026E-3</v>
      </c>
      <c r="G29" s="3"/>
      <c r="H29" s="8">
        <v>157.82177999999999</v>
      </c>
      <c r="I29" s="3"/>
      <c r="J29" s="7">
        <f t="shared" si="1"/>
        <v>2.5163713766382855E-3</v>
      </c>
      <c r="K29" s="3"/>
      <c r="L29" s="8">
        <f t="shared" si="2"/>
        <v>22.008220000000023</v>
      </c>
      <c r="M29" s="3"/>
      <c r="N29" s="7">
        <f t="shared" si="3"/>
        <v>0.13944982752063767</v>
      </c>
      <c r="O29" s="12"/>
      <c r="P29" s="8">
        <v>848.15</v>
      </c>
      <c r="Q29" s="3"/>
      <c r="R29" s="7">
        <f t="shared" si="4"/>
        <v>2.2432475379422648E-3</v>
      </c>
      <c r="S29" s="3"/>
      <c r="T29" s="8">
        <v>1888.82529</v>
      </c>
      <c r="U29" s="3"/>
      <c r="V29" s="7">
        <f t="shared" si="5"/>
        <v>5.1600058188613065E-3</v>
      </c>
      <c r="W29" s="3"/>
      <c r="X29" s="8">
        <f t="shared" si="6"/>
        <v>-1040.6752900000001</v>
      </c>
      <c r="Y29" s="3"/>
      <c r="Z29" s="7">
        <f t="shared" si="7"/>
        <v>-0.5509642927324423</v>
      </c>
    </row>
    <row r="30" spans="1:26" s="70" customFormat="1" ht="15" hidden="1" customHeight="1" outlineLevel="2" x14ac:dyDescent="0.25">
      <c r="A30" s="25"/>
      <c r="B30" s="12" t="str">
        <f>CONCATENATE("          ","6113"," - ","GROUP INSURANCE")</f>
        <v xml:space="preserve">          6113 - GROUP INSURANCE</v>
      </c>
      <c r="C30" s="12"/>
      <c r="D30" s="8">
        <v>487.33</v>
      </c>
      <c r="E30" s="3"/>
      <c r="F30" s="7">
        <f t="shared" si="0"/>
        <v>1.1694055499791113E-2</v>
      </c>
      <c r="G30" s="3"/>
      <c r="H30" s="8">
        <v>988.5</v>
      </c>
      <c r="I30" s="3"/>
      <c r="J30" s="7">
        <f t="shared" si="1"/>
        <v>1.5761025542906343E-2</v>
      </c>
      <c r="K30" s="3"/>
      <c r="L30" s="8">
        <f t="shared" si="2"/>
        <v>-501.17</v>
      </c>
      <c r="M30" s="3"/>
      <c r="N30" s="7">
        <f t="shared" si="3"/>
        <v>-0.50700050581689426</v>
      </c>
      <c r="O30" s="12"/>
      <c r="P30" s="8">
        <v>5608.1</v>
      </c>
      <c r="Q30" s="3"/>
      <c r="R30" s="7">
        <f t="shared" si="4"/>
        <v>1.483270237285152E-2</v>
      </c>
      <c r="S30" s="3"/>
      <c r="T30" s="8">
        <v>10873.5</v>
      </c>
      <c r="U30" s="3"/>
      <c r="V30" s="7">
        <f t="shared" si="5"/>
        <v>2.9704877189244121E-2</v>
      </c>
      <c r="W30" s="3"/>
      <c r="X30" s="8">
        <f t="shared" si="6"/>
        <v>-5265.4</v>
      </c>
      <c r="Y30" s="3"/>
      <c r="Z30" s="7">
        <f t="shared" si="7"/>
        <v>-0.48424150457534371</v>
      </c>
    </row>
    <row r="31" spans="1:26" s="70" customFormat="1" ht="15" hidden="1" customHeight="1" outlineLevel="2" x14ac:dyDescent="0.25">
      <c r="A31" s="25"/>
      <c r="B31" s="12" t="str">
        <f>CONCATENATE("          ","6114"," - ","STATE UNEMPLOYMENT INSURANCE")</f>
        <v xml:space="preserve">          6114 - STATE UNEMPLOYMENT INSURANCE</v>
      </c>
      <c r="C31" s="12"/>
      <c r="D31" s="8">
        <v>31.59</v>
      </c>
      <c r="E31" s="3"/>
      <c r="F31" s="7">
        <f t="shared" si="0"/>
        <v>7.5803913823979912E-4</v>
      </c>
      <c r="G31" s="3"/>
      <c r="H31" s="8">
        <v>21.245239615384602</v>
      </c>
      <c r="I31" s="3"/>
      <c r="J31" s="7">
        <f t="shared" si="1"/>
        <v>3.3874230070130744E-4</v>
      </c>
      <c r="K31" s="3"/>
      <c r="L31" s="8">
        <f t="shared" si="2"/>
        <v>10.344760384615398</v>
      </c>
      <c r="M31" s="3"/>
      <c r="N31" s="7">
        <f t="shared" si="3"/>
        <v>0.48692133258522097</v>
      </c>
      <c r="O31" s="12"/>
      <c r="P31" s="8">
        <v>149</v>
      </c>
      <c r="Q31" s="3"/>
      <c r="R31" s="7">
        <f t="shared" si="4"/>
        <v>3.9408581401096206E-4</v>
      </c>
      <c r="S31" s="3"/>
      <c r="T31" s="8">
        <v>254.26494288461501</v>
      </c>
      <c r="U31" s="3"/>
      <c r="V31" s="7">
        <f t="shared" si="5"/>
        <v>6.9461616792363637E-4</v>
      </c>
      <c r="W31" s="3"/>
      <c r="X31" s="8">
        <f t="shared" si="6"/>
        <v>-105.26494288461501</v>
      </c>
      <c r="Y31" s="3"/>
      <c r="Z31" s="7">
        <f t="shared" si="7"/>
        <v>-0.4139970760042373</v>
      </c>
    </row>
    <row r="32" spans="1:26" s="70" customFormat="1" ht="15" hidden="1" customHeight="1" outlineLevel="2" x14ac:dyDescent="0.25">
      <c r="A32" s="25"/>
      <c r="B32" s="12" t="str">
        <f>CONCATENATE("          ","6115"," - ","P.E.R.S.")</f>
        <v xml:space="preserve">          6115 - P.E.R.S.</v>
      </c>
      <c r="C32" s="12"/>
      <c r="D32" s="8">
        <v>99.84</v>
      </c>
      <c r="E32" s="3"/>
      <c r="F32" s="7">
        <f t="shared" si="0"/>
        <v>2.3957780171529452E-3</v>
      </c>
      <c r="G32" s="3"/>
      <c r="H32" s="8">
        <v>206.11884615384599</v>
      </c>
      <c r="I32" s="3"/>
      <c r="J32" s="7">
        <f t="shared" si="1"/>
        <v>3.2864384411787047E-3</v>
      </c>
      <c r="K32" s="3"/>
      <c r="L32" s="8">
        <f t="shared" si="2"/>
        <v>-106.27884615384599</v>
      </c>
      <c r="M32" s="3"/>
      <c r="N32" s="7">
        <f t="shared" si="3"/>
        <v>-0.51561925625432636</v>
      </c>
      <c r="O32" s="12"/>
      <c r="P32" s="8">
        <v>1078.01</v>
      </c>
      <c r="Q32" s="3"/>
      <c r="R32" s="7">
        <f t="shared" si="4"/>
        <v>2.8511976400131356E-3</v>
      </c>
      <c r="S32" s="3"/>
      <c r="T32" s="8">
        <v>2473.4261538461501</v>
      </c>
      <c r="U32" s="3"/>
      <c r="V32" s="7">
        <f t="shared" si="5"/>
        <v>6.757053399242592E-3</v>
      </c>
      <c r="W32" s="3"/>
      <c r="X32" s="8">
        <f t="shared" si="6"/>
        <v>-1395.4161538461501</v>
      </c>
      <c r="Y32" s="3"/>
      <c r="Z32" s="7">
        <f t="shared" si="7"/>
        <v>-0.5641632565727881</v>
      </c>
    </row>
    <row r="33" spans="1:26" s="70" customFormat="1" ht="15" hidden="1" customHeight="1" outlineLevel="2" x14ac:dyDescent="0.25">
      <c r="A33" s="25"/>
      <c r="B33" s="12" t="str">
        <f>CONCATENATE("          ","6116"," - ","EDUCATIONAL BENEFITS")</f>
        <v xml:space="preserve">          6116 - EDUCATIONAL BENEFITS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","6118"," - ","VACATION")</f>
        <v xml:space="preserve">          6118 - VACATION</v>
      </c>
      <c r="C34" s="12"/>
      <c r="D34" s="8">
        <v>96.19</v>
      </c>
      <c r="E34" s="3"/>
      <c r="F34" s="7">
        <f t="shared" si="0"/>
        <v>2.3081919818704107E-3</v>
      </c>
      <c r="G34" s="3"/>
      <c r="H34" s="8">
        <v>119.836538461538</v>
      </c>
      <c r="I34" s="3"/>
      <c r="J34" s="7">
        <f t="shared" si="1"/>
        <v>1.9107200239411014E-3</v>
      </c>
      <c r="K34" s="3"/>
      <c r="L34" s="8">
        <f t="shared" si="2"/>
        <v>-23.646538461538</v>
      </c>
      <c r="M34" s="3"/>
      <c r="N34" s="7">
        <f t="shared" si="3"/>
        <v>-0.19732327689961979</v>
      </c>
      <c r="O34" s="12"/>
      <c r="P34" s="8">
        <v>1307.6099999999999</v>
      </c>
      <c r="Q34" s="3"/>
      <c r="R34" s="7">
        <f t="shared" si="4"/>
        <v>3.4584600755629131E-3</v>
      </c>
      <c r="S34" s="3"/>
      <c r="T34" s="8">
        <v>1438.0384615384601</v>
      </c>
      <c r="U34" s="3"/>
      <c r="V34" s="7">
        <f t="shared" si="5"/>
        <v>3.9285194181642993E-3</v>
      </c>
      <c r="W34" s="3"/>
      <c r="X34" s="8">
        <f t="shared" si="6"/>
        <v>-130.42846153846017</v>
      </c>
      <c r="Y34" s="3"/>
      <c r="Z34" s="7">
        <f t="shared" si="7"/>
        <v>-9.0698868651206715E-2</v>
      </c>
    </row>
    <row r="35" spans="1:26" s="70" customFormat="1" ht="15" hidden="1" customHeight="1" outlineLevel="2" x14ac:dyDescent="0.25">
      <c r="A35" s="25"/>
      <c r="B35" s="12" t="str">
        <f>CONCATENATE("          ","6119"," - ","SICK LEAVE")</f>
        <v xml:space="preserve">          6119 - SICK LEAVE</v>
      </c>
      <c r="C35" s="12"/>
      <c r="D35" s="8">
        <v>60.68</v>
      </c>
      <c r="E35" s="3"/>
      <c r="F35" s="7">
        <f t="shared" si="0"/>
        <v>1.4560878413545746E-3</v>
      </c>
      <c r="G35" s="3"/>
      <c r="H35" s="8">
        <v>458.26683846153901</v>
      </c>
      <c r="I35" s="3"/>
      <c r="J35" s="7">
        <f t="shared" si="1"/>
        <v>7.3067833550422368E-3</v>
      </c>
      <c r="K35" s="3"/>
      <c r="L35" s="8">
        <f t="shared" si="2"/>
        <v>-397.586838461539</v>
      </c>
      <c r="M35" s="3"/>
      <c r="N35" s="7">
        <f t="shared" si="3"/>
        <v>-0.86758806244040998</v>
      </c>
      <c r="O35" s="12"/>
      <c r="P35" s="8">
        <v>905.22</v>
      </c>
      <c r="Q35" s="3"/>
      <c r="R35" s="7">
        <f t="shared" si="4"/>
        <v>2.3941903393221685E-3</v>
      </c>
      <c r="S35" s="3"/>
      <c r="T35" s="8">
        <v>5485.0501115384604</v>
      </c>
      <c r="U35" s="3"/>
      <c r="V35" s="7">
        <f t="shared" si="5"/>
        <v>1.4984387726132316E-2</v>
      </c>
      <c r="W35" s="3"/>
      <c r="X35" s="8">
        <f t="shared" si="6"/>
        <v>-4579.8301115384602</v>
      </c>
      <c r="Y35" s="3"/>
      <c r="Z35" s="7">
        <f t="shared" si="7"/>
        <v>-0.83496595626432624</v>
      </c>
    </row>
    <row r="36" spans="1:26" s="70" customFormat="1" ht="15" hidden="1" customHeight="1" outlineLevel="2" x14ac:dyDescent="0.25">
      <c r="A36" s="25"/>
      <c r="B36" s="12" t="str">
        <f>CONCATENATE("          ","6156"," - ","EMPLOYEE MEALS")</f>
        <v xml:space="preserve">          6156 - EMPLOYEE MEALS</v>
      </c>
      <c r="C36" s="12"/>
      <c r="D36" s="8">
        <v>187.9</v>
      </c>
      <c r="E36" s="3"/>
      <c r="F36" s="7">
        <f t="shared" si="0"/>
        <v>4.5088811039967792E-3</v>
      </c>
      <c r="G36" s="3"/>
      <c r="H36" s="8"/>
      <c r="I36" s="3"/>
      <c r="J36" s="7">
        <f t="shared" si="1"/>
        <v>0</v>
      </c>
      <c r="K36" s="3"/>
      <c r="L36" s="8">
        <f t="shared" si="2"/>
        <v>187.9</v>
      </c>
      <c r="M36" s="3"/>
      <c r="N36" s="7">
        <f t="shared" si="3"/>
        <v>0</v>
      </c>
      <c r="O36" s="12"/>
      <c r="P36" s="8">
        <v>1688.5</v>
      </c>
      <c r="Q36" s="3"/>
      <c r="R36" s="7">
        <f t="shared" si="4"/>
        <v>4.4658650802517413E-3</v>
      </c>
      <c r="S36" s="3"/>
      <c r="T36" s="8"/>
      <c r="U36" s="3"/>
      <c r="V36" s="7">
        <f t="shared" si="5"/>
        <v>0</v>
      </c>
      <c r="W36" s="3"/>
      <c r="X36" s="8">
        <f t="shared" si="6"/>
        <v>1688.5</v>
      </c>
      <c r="Y36" s="3"/>
      <c r="Z36" s="7">
        <f t="shared" si="7"/>
        <v>0</v>
      </c>
    </row>
    <row r="37" spans="1:26" s="69" customFormat="1" ht="15" customHeight="1" outlineLevel="1" collapsed="1" x14ac:dyDescent="0.25">
      <c r="A37" s="26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7600.55</v>
      </c>
      <c r="E37" s="2"/>
      <c r="F37" s="6">
        <f t="shared" si="0"/>
        <v>0.18238412067579945</v>
      </c>
      <c r="G37" s="2"/>
      <c r="H37" s="2">
        <f>SUM(OSRRefH22_1x_0)</f>
        <v>9610.0356923076906</v>
      </c>
      <c r="I37" s="2"/>
      <c r="J37" s="6">
        <f t="shared" si="1"/>
        <v>0.15322611837602745</v>
      </c>
      <c r="K37" s="2"/>
      <c r="L37" s="2">
        <f t="shared" si="2"/>
        <v>-2009.4856923076904</v>
      </c>
      <c r="M37" s="2"/>
      <c r="N37" s="6">
        <f t="shared" si="3"/>
        <v>-0.20910283339698457</v>
      </c>
      <c r="O37" s="14"/>
      <c r="P37" s="2">
        <f>SUM(OSRRefP22_1x_0)</f>
        <v>80771.5</v>
      </c>
      <c r="Q37" s="2"/>
      <c r="R37" s="6">
        <f t="shared" si="4"/>
        <v>0.21363021695561357</v>
      </c>
      <c r="S37" s="2"/>
      <c r="T37" s="2">
        <f>SUM(OSRRefT22_1x_0)</f>
        <v>115008.7713076923</v>
      </c>
      <c r="U37" s="2"/>
      <c r="V37" s="6">
        <f t="shared" si="5"/>
        <v>0.31418783532265254</v>
      </c>
      <c r="W37" s="2"/>
      <c r="X37" s="2">
        <f t="shared" si="6"/>
        <v>-34237.271307692296</v>
      </c>
      <c r="Y37" s="2"/>
      <c r="Z37" s="6">
        <f t="shared" si="7"/>
        <v>-0.29769269698651546</v>
      </c>
    </row>
    <row r="38" spans="1:26" s="70" customFormat="1" ht="15" hidden="1" customHeight="1" outlineLevel="2" x14ac:dyDescent="0.25">
      <c r="A38" s="25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","6002"," - ","STAFF SALARIES")</f>
        <v xml:space="preserve">          6002 - STAFF SALARIES</v>
      </c>
      <c r="C39" s="12"/>
      <c r="D39" s="8">
        <v>1315.44</v>
      </c>
      <c r="E39" s="3"/>
      <c r="F39" s="7">
        <f t="shared" si="0"/>
        <v>3.1565527192344456E-2</v>
      </c>
      <c r="G39" s="3"/>
      <c r="H39" s="8">
        <v>2157.0576923076901</v>
      </c>
      <c r="I39" s="3"/>
      <c r="J39" s="7">
        <f t="shared" si="1"/>
        <v>3.4392960430939923E-2</v>
      </c>
      <c r="K39" s="3"/>
      <c r="L39" s="8">
        <f t="shared" si="2"/>
        <v>-841.61769230769005</v>
      </c>
      <c r="M39" s="3"/>
      <c r="N39" s="7">
        <f t="shared" si="3"/>
        <v>-0.39016930113134812</v>
      </c>
      <c r="O39" s="12"/>
      <c r="P39" s="8">
        <v>14468.09</v>
      </c>
      <c r="Q39" s="3"/>
      <c r="R39" s="7">
        <f t="shared" si="4"/>
        <v>3.8266235065999063E-2</v>
      </c>
      <c r="S39" s="3"/>
      <c r="T39" s="8">
        <v>25884.692307692301</v>
      </c>
      <c r="U39" s="3"/>
      <c r="V39" s="7">
        <f t="shared" si="5"/>
        <v>7.0713349526957445E-2</v>
      </c>
      <c r="W39" s="3"/>
      <c r="X39" s="8">
        <f t="shared" si="6"/>
        <v>-11416.602307692301</v>
      </c>
      <c r="Y39" s="3"/>
      <c r="Z39" s="7">
        <f t="shared" si="7"/>
        <v>-0.44105613356275303</v>
      </c>
    </row>
    <row r="40" spans="1:26" s="70" customFormat="1" ht="15" hidden="1" customHeight="1" outlineLevel="2" x14ac:dyDescent="0.25">
      <c r="A40" s="25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","6004"," - ","STAFF HOURLY")</f>
        <v xml:space="preserve">          6004 - STAFF HOURLY</v>
      </c>
      <c r="C41" s="12"/>
      <c r="D41" s="8"/>
      <c r="E41" s="3"/>
      <c r="F41" s="7">
        <f t="shared" si="0"/>
        <v>0</v>
      </c>
      <c r="G41" s="3"/>
      <c r="H41" s="8">
        <v>5074.3680000000004</v>
      </c>
      <c r="I41" s="3"/>
      <c r="J41" s="7">
        <f t="shared" si="1"/>
        <v>8.0907682005165987E-2</v>
      </c>
      <c r="K41" s="3"/>
      <c r="L41" s="8">
        <f t="shared" si="2"/>
        <v>-5074.3680000000004</v>
      </c>
      <c r="M41" s="3"/>
      <c r="N41" s="7">
        <f t="shared" si="3"/>
        <v>-1</v>
      </c>
      <c r="O41" s="12"/>
      <c r="P41" s="8">
        <v>4272.3900000000003</v>
      </c>
      <c r="Q41" s="3"/>
      <c r="R41" s="7">
        <f t="shared" si="4"/>
        <v>1.1299921415585867E-2</v>
      </c>
      <c r="S41" s="3"/>
      <c r="T41" s="8">
        <v>60680.224000000002</v>
      </c>
      <c r="U41" s="3"/>
      <c r="V41" s="7">
        <f t="shared" si="5"/>
        <v>0.16576986266940946</v>
      </c>
      <c r="W41" s="3"/>
      <c r="X41" s="8">
        <f t="shared" si="6"/>
        <v>-56407.834000000003</v>
      </c>
      <c r="Y41" s="3"/>
      <c r="Z41" s="7">
        <f t="shared" si="7"/>
        <v>-0.92959172332653228</v>
      </c>
    </row>
    <row r="42" spans="1:26" s="70" customFormat="1" ht="15" hidden="1" customHeight="1" outlineLevel="2" x14ac:dyDescent="0.25">
      <c r="A42" s="25"/>
      <c r="B42" s="12" t="str">
        <f>CONCATENATE("          ","6005"," - ","TEMPORARY WAGES-HOURLY")</f>
        <v xml:space="preserve">          6005 - TEMPORARY WAGES-HOURLY</v>
      </c>
      <c r="C42" s="12"/>
      <c r="D42" s="8"/>
      <c r="E42" s="3"/>
      <c r="F42" s="7">
        <f t="shared" si="0"/>
        <v>0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>
        <v>7890.68</v>
      </c>
      <c r="Q42" s="3"/>
      <c r="R42" s="7">
        <f t="shared" si="4"/>
        <v>2.0869832556375961E-2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7890.68</v>
      </c>
      <c r="Y42" s="3"/>
      <c r="Z42" s="7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","6007"," - ","STUDENT HOURLY")</f>
        <v xml:space="preserve">          6007 - STUDENT HOURLY</v>
      </c>
      <c r="C44" s="12"/>
      <c r="D44" s="8">
        <v>5359.16</v>
      </c>
      <c r="E44" s="3"/>
      <c r="F44" s="7">
        <f t="shared" si="0"/>
        <v>0.12859933612184873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5359.16</v>
      </c>
      <c r="M44" s="3"/>
      <c r="N44" s="7">
        <f t="shared" si="3"/>
        <v>0</v>
      </c>
      <c r="O44" s="12"/>
      <c r="P44" s="8">
        <v>50902.07</v>
      </c>
      <c r="Q44" s="3"/>
      <c r="R44" s="7">
        <f t="shared" si="4"/>
        <v>0.13462942074357698</v>
      </c>
      <c r="S44" s="3"/>
      <c r="T44" s="8">
        <v>5001.75</v>
      </c>
      <c r="U44" s="3"/>
      <c r="V44" s="7">
        <f t="shared" si="5"/>
        <v>1.3664079595466205E-2</v>
      </c>
      <c r="W44" s="3"/>
      <c r="X44" s="8">
        <f t="shared" si="6"/>
        <v>45900.32</v>
      </c>
      <c r="Y44" s="3"/>
      <c r="Z44" s="7">
        <f t="shared" si="7"/>
        <v>9.176852101764382</v>
      </c>
    </row>
    <row r="45" spans="1:26" s="70" customFormat="1" ht="15" hidden="1" customHeight="1" outlineLevel="2" x14ac:dyDescent="0.25">
      <c r="A45" s="25"/>
      <c r="B45" s="12" t="str">
        <f>CONCATENATE("          ","6008"," - ","STUDENT HOURLY-FICA EXEMPT")</f>
        <v xml:space="preserve">          6008 - STUDENT HOURLY-FICA EXEMPT</v>
      </c>
      <c r="C45" s="12"/>
      <c r="D45" s="8">
        <v>925.95</v>
      </c>
      <c r="E45" s="3"/>
      <c r="F45" s="7">
        <f t="shared" si="0"/>
        <v>2.2219257361606268E-2</v>
      </c>
      <c r="G45" s="3"/>
      <c r="H45" s="8">
        <v>2378.61</v>
      </c>
      <c r="I45" s="3"/>
      <c r="J45" s="7">
        <f t="shared" si="1"/>
        <v>3.7925475939921557E-2</v>
      </c>
      <c r="K45" s="3"/>
      <c r="L45" s="8">
        <f t="shared" si="2"/>
        <v>-1452.66</v>
      </c>
      <c r="M45" s="3"/>
      <c r="N45" s="7">
        <f t="shared" si="3"/>
        <v>-0.6107180243923972</v>
      </c>
      <c r="O45" s="12"/>
      <c r="P45" s="8">
        <v>3238.27</v>
      </c>
      <c r="Q45" s="3"/>
      <c r="R45" s="7">
        <f t="shared" si="4"/>
        <v>8.564807174075692E-3</v>
      </c>
      <c r="S45" s="3"/>
      <c r="T45" s="8">
        <v>23442.105</v>
      </c>
      <c r="U45" s="3"/>
      <c r="V45" s="7">
        <f t="shared" si="5"/>
        <v>6.4040543530819477E-2</v>
      </c>
      <c r="W45" s="3"/>
      <c r="X45" s="8">
        <f t="shared" si="6"/>
        <v>-20203.834999999999</v>
      </c>
      <c r="Y45" s="3"/>
      <c r="Z45" s="7">
        <f t="shared" si="7"/>
        <v>-0.86186095489291592</v>
      </c>
    </row>
    <row r="46" spans="1:26" s="70" customFormat="1" ht="15" hidden="1" customHeight="1" outlineLevel="2" x14ac:dyDescent="0.25">
      <c r="A46" s="25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25">
      <c r="A47" s="25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25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312.64</v>
      </c>
      <c r="E48" s="2"/>
      <c r="F48" s="6">
        <f t="shared" si="0"/>
        <v>7.5021638549949594E-3</v>
      </c>
      <c r="G48" s="2"/>
      <c r="H48" s="2">
        <f>SUM(OSRRefH22_2x_0)</f>
        <v>50</v>
      </c>
      <c r="I48" s="2"/>
      <c r="J48" s="6">
        <f t="shared" si="1"/>
        <v>7.9721929908479225E-4</v>
      </c>
      <c r="K48" s="2"/>
      <c r="L48" s="2">
        <f t="shared" si="2"/>
        <v>262.64</v>
      </c>
      <c r="M48" s="2"/>
      <c r="N48" s="6">
        <f t="shared" si="3"/>
        <v>5.2527999999999997</v>
      </c>
      <c r="O48" s="14"/>
      <c r="P48" s="2">
        <f>SUM(OSRRefP22_2x_0)</f>
        <v>2374.91</v>
      </c>
      <c r="Q48" s="2"/>
      <c r="R48" s="6">
        <f t="shared" si="4"/>
        <v>6.2813311446494888E-3</v>
      </c>
      <c r="S48" s="2"/>
      <c r="T48" s="2">
        <f>SUM(OSRRefT22_2x_0)</f>
        <v>550</v>
      </c>
      <c r="U48" s="2"/>
      <c r="V48" s="6">
        <f t="shared" si="5"/>
        <v>1.5025228724959091E-3</v>
      </c>
      <c r="W48" s="2"/>
      <c r="X48" s="2">
        <f t="shared" si="6"/>
        <v>1824.9099999999999</v>
      </c>
      <c r="Y48" s="2"/>
      <c r="Z48" s="6">
        <f t="shared" si="7"/>
        <v>3.3180181818181818</v>
      </c>
    </row>
    <row r="49" spans="1:26" s="70" customFormat="1" ht="15" hidden="1" customHeight="1" outlineLevel="2" x14ac:dyDescent="0.25">
      <c r="A49" s="25"/>
      <c r="B49" s="12" t="str">
        <f>CONCATENATE("          ","6362"," - ","ADVERTISING EXPENSE")</f>
        <v xml:space="preserve">          6362 - ADVERTISING EXPENSE</v>
      </c>
      <c r="C49" s="12"/>
      <c r="D49" s="8">
        <v>312.64</v>
      </c>
      <c r="E49" s="3"/>
      <c r="F49" s="7">
        <f t="shared" si="0"/>
        <v>7.5021638549949594E-3</v>
      </c>
      <c r="G49" s="3"/>
      <c r="H49" s="8">
        <v>50</v>
      </c>
      <c r="I49" s="3"/>
      <c r="J49" s="7">
        <f t="shared" si="1"/>
        <v>7.9721929908479225E-4</v>
      </c>
      <c r="K49" s="3"/>
      <c r="L49" s="8">
        <f t="shared" si="2"/>
        <v>262.64</v>
      </c>
      <c r="M49" s="3"/>
      <c r="N49" s="7">
        <f t="shared" si="3"/>
        <v>5.2527999999999997</v>
      </c>
      <c r="O49" s="12"/>
      <c r="P49" s="8">
        <v>2374.91</v>
      </c>
      <c r="Q49" s="3"/>
      <c r="R49" s="7">
        <f t="shared" si="4"/>
        <v>6.2813311446494888E-3</v>
      </c>
      <c r="S49" s="3"/>
      <c r="T49" s="8">
        <v>550</v>
      </c>
      <c r="U49" s="3"/>
      <c r="V49" s="7">
        <f t="shared" si="5"/>
        <v>1.5025228724959091E-3</v>
      </c>
      <c r="W49" s="3"/>
      <c r="X49" s="8">
        <f t="shared" si="6"/>
        <v>1824.9099999999999</v>
      </c>
      <c r="Y49" s="3"/>
      <c r="Z49" s="7">
        <f t="shared" si="7"/>
        <v>3.3180181818181818</v>
      </c>
    </row>
    <row r="50" spans="1:26" s="69" customFormat="1" ht="15" customHeight="1" outlineLevel="1" collapsed="1" x14ac:dyDescent="0.25">
      <c r="A50" s="26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-4.0199999999999996</v>
      </c>
      <c r="E50" s="2"/>
      <c r="F50" s="6">
        <f t="shared" si="0"/>
        <v>-9.6464619681038054E-5</v>
      </c>
      <c r="G50" s="2"/>
      <c r="H50" s="2">
        <f>SUM(OSRRefH22_3x_0)</f>
        <v>10</v>
      </c>
      <c r="I50" s="2"/>
      <c r="J50" s="6">
        <f t="shared" si="1"/>
        <v>1.5944385981695846E-4</v>
      </c>
      <c r="K50" s="2"/>
      <c r="L50" s="2">
        <f t="shared" si="2"/>
        <v>-14.02</v>
      </c>
      <c r="M50" s="2"/>
      <c r="N50" s="6">
        <f t="shared" si="3"/>
        <v>-1.4019999999999999</v>
      </c>
      <c r="O50" s="14"/>
      <c r="P50" s="2">
        <f>SUM(OSRRefP22_3x_0)</f>
        <v>-52.93</v>
      </c>
      <c r="Q50" s="2"/>
      <c r="R50" s="6">
        <f t="shared" si="4"/>
        <v>-1.3999303446711559E-4</v>
      </c>
      <c r="S50" s="2"/>
      <c r="T50" s="2">
        <f>SUM(OSRRefT22_3x_0)</f>
        <v>110</v>
      </c>
      <c r="U50" s="2"/>
      <c r="V50" s="6">
        <f t="shared" si="5"/>
        <v>3.0050457449918178E-4</v>
      </c>
      <c r="W50" s="2"/>
      <c r="X50" s="2">
        <f t="shared" si="6"/>
        <v>-162.93</v>
      </c>
      <c r="Y50" s="2"/>
      <c r="Z50" s="6">
        <f t="shared" si="7"/>
        <v>-1.4811818181818182</v>
      </c>
    </row>
    <row r="51" spans="1:26" s="70" customFormat="1" ht="15" hidden="1" customHeight="1" outlineLevel="2" x14ac:dyDescent="0.25">
      <c r="A51" s="25"/>
      <c r="B51" s="12" t="str">
        <f>CONCATENATE("          ","6272"," - ","CASH (OVER/SHORT)")</f>
        <v xml:space="preserve">          6272 - CASH (OVER/SHORT)</v>
      </c>
      <c r="C51" s="12"/>
      <c r="D51" s="8">
        <v>-4.0199999999999996</v>
      </c>
      <c r="E51" s="3"/>
      <c r="F51" s="7">
        <f t="shared" si="0"/>
        <v>-9.6464619681038054E-5</v>
      </c>
      <c r="G51" s="3"/>
      <c r="H51" s="8">
        <v>10</v>
      </c>
      <c r="I51" s="3"/>
      <c r="J51" s="7">
        <f t="shared" si="1"/>
        <v>1.5944385981695846E-4</v>
      </c>
      <c r="K51" s="3"/>
      <c r="L51" s="8">
        <f t="shared" si="2"/>
        <v>-14.02</v>
      </c>
      <c r="M51" s="3"/>
      <c r="N51" s="7">
        <f t="shared" si="3"/>
        <v>-1.4019999999999999</v>
      </c>
      <c r="O51" s="12"/>
      <c r="P51" s="8">
        <v>-52.93</v>
      </c>
      <c r="Q51" s="3"/>
      <c r="R51" s="7">
        <f t="shared" si="4"/>
        <v>-1.3999303446711559E-4</v>
      </c>
      <c r="S51" s="3"/>
      <c r="T51" s="8">
        <v>110</v>
      </c>
      <c r="U51" s="3"/>
      <c r="V51" s="7">
        <f t="shared" si="5"/>
        <v>3.0050457449918178E-4</v>
      </c>
      <c r="W51" s="3"/>
      <c r="X51" s="8">
        <f t="shared" si="6"/>
        <v>-162.93</v>
      </c>
      <c r="Y51" s="3"/>
      <c r="Z51" s="7">
        <f t="shared" si="7"/>
        <v>-1.4811818181818182</v>
      </c>
    </row>
    <row r="52" spans="1:26" s="69" customFormat="1" ht="15" customHeight="1" outlineLevel="1" collapsed="1" x14ac:dyDescent="0.25">
      <c r="A52" s="26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855.75</v>
      </c>
      <c r="E52" s="2"/>
      <c r="F52" s="6">
        <f t="shared" si="0"/>
        <v>2.0534725943295602E-2</v>
      </c>
      <c r="G52" s="2"/>
      <c r="H52" s="2">
        <f>SUM(OSRRefH22_4x_0)</f>
        <v>1229</v>
      </c>
      <c r="I52" s="2"/>
      <c r="J52" s="6">
        <f t="shared" si="1"/>
        <v>1.9595650371504195E-2</v>
      </c>
      <c r="K52" s="2"/>
      <c r="L52" s="2">
        <f t="shared" si="2"/>
        <v>-373.25</v>
      </c>
      <c r="M52" s="2"/>
      <c r="N52" s="6">
        <f t="shared" si="3"/>
        <v>-0.30370219690805533</v>
      </c>
      <c r="O52" s="14"/>
      <c r="P52" s="2">
        <f>SUM(OSRRefP22_4x_0)</f>
        <v>6201.47</v>
      </c>
      <c r="Q52" s="2"/>
      <c r="R52" s="6">
        <f t="shared" si="4"/>
        <v>1.640208961754739E-2</v>
      </c>
      <c r="S52" s="2"/>
      <c r="T52" s="2">
        <f>SUM(OSRRefT22_4x_0)</f>
        <v>7045</v>
      </c>
      <c r="U52" s="2"/>
      <c r="V52" s="6">
        <f t="shared" si="5"/>
        <v>1.9245952066788509E-2</v>
      </c>
      <c r="W52" s="2"/>
      <c r="X52" s="2">
        <f t="shared" si="6"/>
        <v>-843.52999999999975</v>
      </c>
      <c r="Y52" s="2"/>
      <c r="Z52" s="6">
        <f t="shared" si="7"/>
        <v>-0.11973456352022707</v>
      </c>
    </row>
    <row r="53" spans="1:26" s="70" customFormat="1" ht="15" hidden="1" customHeight="1" outlineLevel="2" x14ac:dyDescent="0.25">
      <c r="A53" s="25"/>
      <c r="B53" s="12" t="str">
        <f>CONCATENATE("          ","6381"," - ","BANK/CREDIT CARD FEES")</f>
        <v xml:space="preserve">          6381 - BANK/CREDIT CARD FEES</v>
      </c>
      <c r="C53" s="12"/>
      <c r="D53" s="8">
        <v>855.75</v>
      </c>
      <c r="E53" s="3"/>
      <c r="F53" s="7">
        <f t="shared" si="0"/>
        <v>2.0534725943295602E-2</v>
      </c>
      <c r="G53" s="3"/>
      <c r="H53" s="8">
        <v>1229</v>
      </c>
      <c r="I53" s="3"/>
      <c r="J53" s="7">
        <f t="shared" si="1"/>
        <v>1.9595650371504195E-2</v>
      </c>
      <c r="K53" s="3"/>
      <c r="L53" s="8">
        <f t="shared" si="2"/>
        <v>-373.25</v>
      </c>
      <c r="M53" s="3"/>
      <c r="N53" s="7">
        <f t="shared" si="3"/>
        <v>-0.30370219690805533</v>
      </c>
      <c r="O53" s="12"/>
      <c r="P53" s="8">
        <v>6201.47</v>
      </c>
      <c r="Q53" s="3"/>
      <c r="R53" s="7">
        <f t="shared" si="4"/>
        <v>1.640208961754739E-2</v>
      </c>
      <c r="S53" s="3"/>
      <c r="T53" s="8">
        <v>7045</v>
      </c>
      <c r="U53" s="3"/>
      <c r="V53" s="7">
        <f t="shared" si="5"/>
        <v>1.9245952066788509E-2</v>
      </c>
      <c r="W53" s="3"/>
      <c r="X53" s="8">
        <f t="shared" si="6"/>
        <v>-843.52999999999975</v>
      </c>
      <c r="Y53" s="3"/>
      <c r="Z53" s="7">
        <f t="shared" si="7"/>
        <v>-0.11973456352022707</v>
      </c>
    </row>
    <row r="54" spans="1:26" s="69" customFormat="1" ht="15" customHeight="1" outlineLevel="1" collapsed="1" x14ac:dyDescent="0.25">
      <c r="A54" s="26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SUM(OSRRefD22_5x_0)</f>
        <v>0</v>
      </c>
      <c r="E54" s="2"/>
      <c r="F54" s="6">
        <f t="shared" si="0"/>
        <v>0</v>
      </c>
      <c r="G54" s="2"/>
      <c r="H54" s="2">
        <f>SUM(OSRRefH22_5x_0)</f>
        <v>25</v>
      </c>
      <c r="I54" s="2"/>
      <c r="J54" s="6">
        <f t="shared" si="1"/>
        <v>3.9860964954239612E-4</v>
      </c>
      <c r="K54" s="2"/>
      <c r="L54" s="2">
        <f t="shared" si="2"/>
        <v>-25</v>
      </c>
      <c r="M54" s="2"/>
      <c r="N54" s="6">
        <f t="shared" si="3"/>
        <v>-1</v>
      </c>
      <c r="O54" s="14"/>
      <c r="P54" s="2">
        <f>SUM(OSRRefP22_5x_0)</f>
        <v>0</v>
      </c>
      <c r="Q54" s="2"/>
      <c r="R54" s="6">
        <f t="shared" si="4"/>
        <v>0</v>
      </c>
      <c r="S54" s="2"/>
      <c r="T54" s="2">
        <f>SUM(OSRRefT22_5x_0)</f>
        <v>275</v>
      </c>
      <c r="U54" s="2"/>
      <c r="V54" s="6">
        <f t="shared" si="5"/>
        <v>7.5126143624795457E-4</v>
      </c>
      <c r="W54" s="2"/>
      <c r="X54" s="2">
        <f t="shared" si="6"/>
        <v>-275</v>
      </c>
      <c r="Y54" s="2"/>
      <c r="Z54" s="6">
        <f t="shared" si="7"/>
        <v>-1</v>
      </c>
    </row>
    <row r="55" spans="1:26" s="70" customFormat="1" ht="15" hidden="1" customHeight="1" outlineLevel="2" x14ac:dyDescent="0.25">
      <c r="A55" s="25"/>
      <c r="B55" s="12" t="str">
        <f>CONCATENATE("          ","6277"," - ","EMPLOYEE APPRECIATION")</f>
        <v xml:space="preserve">          6277 - EMPLOYEE APPRECIATION</v>
      </c>
      <c r="C55" s="12"/>
      <c r="D55" s="8"/>
      <c r="E55" s="3"/>
      <c r="F55" s="7">
        <f t="shared" si="0"/>
        <v>0</v>
      </c>
      <c r="G55" s="3"/>
      <c r="H55" s="8">
        <v>25</v>
      </c>
      <c r="I55" s="3"/>
      <c r="J55" s="7">
        <f t="shared" si="1"/>
        <v>3.9860964954239612E-4</v>
      </c>
      <c r="K55" s="3"/>
      <c r="L55" s="8">
        <f t="shared" si="2"/>
        <v>-25</v>
      </c>
      <c r="M55" s="3"/>
      <c r="N55" s="7">
        <f t="shared" si="3"/>
        <v>-1</v>
      </c>
      <c r="O55" s="12"/>
      <c r="P55" s="8"/>
      <c r="Q55" s="3"/>
      <c r="R55" s="7">
        <f t="shared" si="4"/>
        <v>0</v>
      </c>
      <c r="S55" s="3"/>
      <c r="T55" s="8">
        <v>275</v>
      </c>
      <c r="U55" s="3"/>
      <c r="V55" s="7">
        <f t="shared" si="5"/>
        <v>7.5126143624795457E-4</v>
      </c>
      <c r="W55" s="3"/>
      <c r="X55" s="8">
        <f t="shared" si="6"/>
        <v>-275</v>
      </c>
      <c r="Y55" s="3"/>
      <c r="Z55" s="7">
        <f t="shared" si="7"/>
        <v>-1</v>
      </c>
    </row>
    <row r="56" spans="1:26" s="69" customFormat="1" ht="15" customHeight="1" outlineLevel="1" collapsed="1" x14ac:dyDescent="0.25">
      <c r="A56" s="26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0</v>
      </c>
      <c r="M56" s="2"/>
      <c r="N56" s="6">
        <f t="shared" si="3"/>
        <v>0</v>
      </c>
      <c r="O56" s="14"/>
      <c r="P56" s="2">
        <f>SUM(OSRRefP22_6x_0)</f>
        <v>1414.19</v>
      </c>
      <c r="Q56" s="2"/>
      <c r="R56" s="6">
        <f t="shared" si="4"/>
        <v>3.7403504517863253E-3</v>
      </c>
      <c r="S56" s="2"/>
      <c r="T56" s="2">
        <f>SUM(OSRRefT22_6x_0)</f>
        <v>1250</v>
      </c>
      <c r="U56" s="2"/>
      <c r="V56" s="6">
        <f t="shared" si="5"/>
        <v>3.414824710217975E-3</v>
      </c>
      <c r="W56" s="2"/>
      <c r="X56" s="2">
        <f t="shared" si="6"/>
        <v>164.19000000000005</v>
      </c>
      <c r="Y56" s="2"/>
      <c r="Z56" s="6">
        <f t="shared" si="7"/>
        <v>0.13135200000000005</v>
      </c>
    </row>
    <row r="57" spans="1:26" s="70" customFormat="1" ht="15" hidden="1" customHeight="1" outlineLevel="2" x14ac:dyDescent="0.25">
      <c r="A57" s="25"/>
      <c r="B57" s="12" t="str">
        <f>CONCATENATE("          ","6276"," - ","PROPERTY TAX")</f>
        <v xml:space="preserve">          6276 - PROPERTY TAX</v>
      </c>
      <c r="C57" s="12"/>
      <c r="D57" s="8"/>
      <c r="E57" s="3"/>
      <c r="F57" s="7">
        <f t="shared" si="0"/>
        <v>0</v>
      </c>
      <c r="G57" s="3"/>
      <c r="H57" s="8"/>
      <c r="I57" s="3"/>
      <c r="J57" s="7">
        <f t="shared" si="1"/>
        <v>0</v>
      </c>
      <c r="K57" s="3"/>
      <c r="L57" s="8">
        <f t="shared" si="2"/>
        <v>0</v>
      </c>
      <c r="M57" s="3"/>
      <c r="N57" s="7">
        <f t="shared" si="3"/>
        <v>0</v>
      </c>
      <c r="O57" s="12"/>
      <c r="P57" s="8"/>
      <c r="Q57" s="3"/>
      <c r="R57" s="7">
        <f t="shared" si="4"/>
        <v>0</v>
      </c>
      <c r="S57" s="3"/>
      <c r="T57" s="8">
        <v>1250</v>
      </c>
      <c r="U57" s="3"/>
      <c r="V57" s="7">
        <f t="shared" si="5"/>
        <v>3.414824710217975E-3</v>
      </c>
      <c r="W57" s="3"/>
      <c r="X57" s="8">
        <f t="shared" si="6"/>
        <v>-1250</v>
      </c>
      <c r="Y57" s="3"/>
      <c r="Z57" s="7">
        <f t="shared" si="7"/>
        <v>-1</v>
      </c>
    </row>
    <row r="58" spans="1:26" s="70" customFormat="1" ht="15" hidden="1" customHeight="1" outlineLevel="2" x14ac:dyDescent="0.25">
      <c r="A58" s="25"/>
      <c r="B58" s="12" t="str">
        <f>CONCATENATE("          ","6279"," - ","GENERAL EXPENSE")</f>
        <v xml:space="preserve">          6279 - GENERAL EXPENSE</v>
      </c>
      <c r="C58" s="12"/>
      <c r="D58" s="8"/>
      <c r="E58" s="3"/>
      <c r="F58" s="7">
        <f t="shared" ref="F58:F86" si="8">IF(D$12=0,0,D58/D$12)</f>
        <v>0</v>
      </c>
      <c r="G58" s="3"/>
      <c r="H58" s="8"/>
      <c r="I58" s="3"/>
      <c r="J58" s="7">
        <f t="shared" ref="J58:J86" si="9">IF(H$12=0,0,H58/H$12)</f>
        <v>0</v>
      </c>
      <c r="K58" s="3"/>
      <c r="L58" s="8">
        <f t="shared" ref="L58:L86" si="10">+D58-H58</f>
        <v>0</v>
      </c>
      <c r="M58" s="3"/>
      <c r="N58" s="7">
        <f t="shared" ref="N58:N86" si="11">IF(H58=0,0,L58/H58)</f>
        <v>0</v>
      </c>
      <c r="O58" s="12"/>
      <c r="P58" s="8">
        <v>1414.19</v>
      </c>
      <c r="Q58" s="3"/>
      <c r="R58" s="7">
        <f t="shared" ref="R58:R86" si="12">IF(P$12=0,0,P58/P$12)</f>
        <v>3.7403504517863253E-3</v>
      </c>
      <c r="S58" s="3"/>
      <c r="T58" s="8"/>
      <c r="U58" s="3"/>
      <c r="V58" s="7">
        <f t="shared" ref="V58:V86" si="13">IF(T$12=0,0,T58/T$12)</f>
        <v>0</v>
      </c>
      <c r="W58" s="3"/>
      <c r="X58" s="8">
        <f t="shared" ref="X58:X86" si="14">+P58-T58</f>
        <v>1414.19</v>
      </c>
      <c r="Y58" s="3"/>
      <c r="Z58" s="7">
        <f t="shared" ref="Z58:Z86" si="15">IF(T58=0,0,X58/T58)</f>
        <v>0</v>
      </c>
    </row>
    <row r="59" spans="1:26" s="69" customFormat="1" ht="15" customHeight="1" outlineLevel="1" collapsed="1" x14ac:dyDescent="0.25">
      <c r="A59" s="26"/>
      <c r="B59" s="14" t="str">
        <f>CONCATENATE("     ","Insurance                                         ")</f>
        <v xml:space="preserve">     Insurance                                         </v>
      </c>
      <c r="C59" s="14"/>
      <c r="D59" s="2">
        <f>SUM(OSRRefD22_7x_0)</f>
        <v>219.08</v>
      </c>
      <c r="E59" s="2"/>
      <c r="F59" s="6">
        <f t="shared" si="8"/>
        <v>5.2570818108760749E-3</v>
      </c>
      <c r="G59" s="2"/>
      <c r="H59" s="2">
        <f>SUM(OSRRefH22_7x_0)</f>
        <v>175</v>
      </c>
      <c r="I59" s="2"/>
      <c r="J59" s="6">
        <f t="shared" si="9"/>
        <v>2.7902675467967727E-3</v>
      </c>
      <c r="K59" s="2"/>
      <c r="L59" s="2">
        <f t="shared" si="10"/>
        <v>44.080000000000013</v>
      </c>
      <c r="M59" s="2"/>
      <c r="N59" s="6">
        <f t="shared" si="11"/>
        <v>0.25188571428571438</v>
      </c>
      <c r="O59" s="14"/>
      <c r="P59" s="2">
        <f>SUM(OSRRefP22_7x_0)</f>
        <v>2409.88</v>
      </c>
      <c r="Q59" s="2"/>
      <c r="R59" s="6">
        <f t="shared" si="12"/>
        <v>6.3738222917364921E-3</v>
      </c>
      <c r="S59" s="2"/>
      <c r="T59" s="2">
        <f>SUM(OSRRefT22_7x_0)</f>
        <v>1925</v>
      </c>
      <c r="U59" s="2"/>
      <c r="V59" s="6">
        <f t="shared" si="13"/>
        <v>5.2588300537356816E-3</v>
      </c>
      <c r="W59" s="2"/>
      <c r="X59" s="2">
        <f t="shared" si="14"/>
        <v>484.88000000000011</v>
      </c>
      <c r="Y59" s="2"/>
      <c r="Z59" s="6">
        <f t="shared" si="15"/>
        <v>0.25188571428571432</v>
      </c>
    </row>
    <row r="60" spans="1:26" s="70" customFormat="1" ht="15" hidden="1" customHeight="1" outlineLevel="2" x14ac:dyDescent="0.25">
      <c r="A60" s="25"/>
      <c r="B60" s="12" t="str">
        <f>CONCATENATE("          ","6314"," - ","LIABILITY INSURANCE")</f>
        <v xml:space="preserve">          6314 - LIABILITY INSURANCE</v>
      </c>
      <c r="C60" s="12"/>
      <c r="D60" s="8">
        <v>219.08</v>
      </c>
      <c r="E60" s="3"/>
      <c r="F60" s="7">
        <f t="shared" si="8"/>
        <v>5.2570818108760749E-3</v>
      </c>
      <c r="G60" s="3"/>
      <c r="H60" s="8">
        <v>175</v>
      </c>
      <c r="I60" s="3"/>
      <c r="J60" s="7">
        <f t="shared" si="9"/>
        <v>2.7902675467967727E-3</v>
      </c>
      <c r="K60" s="3"/>
      <c r="L60" s="8">
        <f t="shared" si="10"/>
        <v>44.080000000000013</v>
      </c>
      <c r="M60" s="3"/>
      <c r="N60" s="7">
        <f t="shared" si="11"/>
        <v>0.25188571428571438</v>
      </c>
      <c r="O60" s="12"/>
      <c r="P60" s="8">
        <v>2409.88</v>
      </c>
      <c r="Q60" s="3"/>
      <c r="R60" s="7">
        <f t="shared" si="12"/>
        <v>6.3738222917364921E-3</v>
      </c>
      <c r="S60" s="3"/>
      <c r="T60" s="8">
        <v>1925</v>
      </c>
      <c r="U60" s="3"/>
      <c r="V60" s="7">
        <f t="shared" si="13"/>
        <v>5.2588300537356816E-3</v>
      </c>
      <c r="W60" s="3"/>
      <c r="X60" s="8">
        <f t="shared" si="14"/>
        <v>484.88000000000011</v>
      </c>
      <c r="Y60" s="3"/>
      <c r="Z60" s="7">
        <f t="shared" si="15"/>
        <v>0.25188571428571432</v>
      </c>
    </row>
    <row r="61" spans="1:26" s="69" customFormat="1" ht="15" customHeight="1" outlineLevel="1" collapsed="1" x14ac:dyDescent="0.25">
      <c r="A61" s="26"/>
      <c r="B61" s="14" t="str">
        <f>CONCATENATE("     ","Inventory Adjustment                              ")</f>
        <v xml:space="preserve">     Inventory Adjustment                              </v>
      </c>
      <c r="C61" s="14"/>
      <c r="D61" s="2">
        <f>SUM(OSRRefD22_8x_0)</f>
        <v>100</v>
      </c>
      <c r="E61" s="2"/>
      <c r="F61" s="6">
        <f t="shared" si="8"/>
        <v>2.399617405000947E-3</v>
      </c>
      <c r="G61" s="2"/>
      <c r="H61" s="2">
        <f>SUM(OSRRefH22_8x_0)</f>
        <v>100</v>
      </c>
      <c r="I61" s="2"/>
      <c r="J61" s="6">
        <f t="shared" si="9"/>
        <v>1.5944385981695845E-3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SUM(OSRRefP22_8x_0)</f>
        <v>1100</v>
      </c>
      <c r="Q61" s="2"/>
      <c r="R61" s="6">
        <f t="shared" si="12"/>
        <v>2.9093583584701896E-3</v>
      </c>
      <c r="S61" s="2"/>
      <c r="T61" s="2">
        <f>SUM(OSRRefT22_8x_0)</f>
        <v>1100</v>
      </c>
      <c r="U61" s="2"/>
      <c r="V61" s="6">
        <f t="shared" si="13"/>
        <v>3.0050457449918183E-3</v>
      </c>
      <c r="W61" s="2"/>
      <c r="X61" s="2">
        <f t="shared" si="14"/>
        <v>0</v>
      </c>
      <c r="Y61" s="2"/>
      <c r="Z61" s="6">
        <f t="shared" si="15"/>
        <v>0</v>
      </c>
    </row>
    <row r="62" spans="1:26" s="70" customFormat="1" ht="15" hidden="1" customHeight="1" outlineLevel="2" x14ac:dyDescent="0.25">
      <c r="A62" s="25"/>
      <c r="B62" s="12" t="str">
        <f>CONCATENATE("          ","6408"," - ","INVENTORY ADJUSTMENT")</f>
        <v xml:space="preserve">          6408 - INVENTORY ADJUSTMENT</v>
      </c>
      <c r="C62" s="12"/>
      <c r="D62" s="8">
        <v>100</v>
      </c>
      <c r="E62" s="3"/>
      <c r="F62" s="7">
        <f t="shared" si="8"/>
        <v>2.399617405000947E-3</v>
      </c>
      <c r="G62" s="3"/>
      <c r="H62" s="8">
        <v>100</v>
      </c>
      <c r="I62" s="3"/>
      <c r="J62" s="7">
        <f t="shared" si="9"/>
        <v>1.5944385981695845E-3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1100</v>
      </c>
      <c r="Q62" s="3"/>
      <c r="R62" s="7">
        <f t="shared" si="12"/>
        <v>2.9093583584701896E-3</v>
      </c>
      <c r="S62" s="3"/>
      <c r="T62" s="8">
        <v>1100</v>
      </c>
      <c r="U62" s="3"/>
      <c r="V62" s="7">
        <f t="shared" si="13"/>
        <v>3.0050457449918183E-3</v>
      </c>
      <c r="W62" s="3"/>
      <c r="X62" s="8">
        <f t="shared" si="14"/>
        <v>0</v>
      </c>
      <c r="Y62" s="3"/>
      <c r="Z62" s="7">
        <f t="shared" si="15"/>
        <v>0</v>
      </c>
    </row>
    <row r="63" spans="1:26" s="69" customFormat="1" ht="15" customHeight="1" outlineLevel="1" collapsed="1" x14ac:dyDescent="0.25">
      <c r="A63" s="26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SUM(OSRRefD22_9x_0)</f>
        <v>0</v>
      </c>
      <c r="E63" s="2"/>
      <c r="F63" s="6">
        <f t="shared" si="8"/>
        <v>0</v>
      </c>
      <c r="G63" s="2"/>
      <c r="H63" s="2">
        <f>SUM(OSRRefH22_9x_0)</f>
        <v>0</v>
      </c>
      <c r="I63" s="2"/>
      <c r="J63" s="6">
        <f t="shared" si="9"/>
        <v>0</v>
      </c>
      <c r="K63" s="2"/>
      <c r="L63" s="2">
        <f t="shared" si="10"/>
        <v>0</v>
      </c>
      <c r="M63" s="2"/>
      <c r="N63" s="6">
        <f t="shared" si="11"/>
        <v>0</v>
      </c>
      <c r="O63" s="14"/>
      <c r="P63" s="2">
        <f>SUM(OSRRefP22_9x_0)</f>
        <v>161.46</v>
      </c>
      <c r="Q63" s="2"/>
      <c r="R63" s="6">
        <f t="shared" si="12"/>
        <v>4.2704090959872442E-4</v>
      </c>
      <c r="S63" s="2"/>
      <c r="T63" s="2">
        <f>SUM(OSRRefT22_9x_0)</f>
        <v>750</v>
      </c>
      <c r="U63" s="2"/>
      <c r="V63" s="6">
        <f t="shared" si="13"/>
        <v>2.0488948261307852E-3</v>
      </c>
      <c r="W63" s="2"/>
      <c r="X63" s="2">
        <f t="shared" si="14"/>
        <v>-588.54</v>
      </c>
      <c r="Y63" s="2"/>
      <c r="Z63" s="6">
        <f t="shared" si="15"/>
        <v>-0.78471999999999997</v>
      </c>
    </row>
    <row r="64" spans="1:26" s="70" customFormat="1" ht="15" hidden="1" customHeight="1" outlineLevel="2" x14ac:dyDescent="0.25">
      <c r="A64" s="25"/>
      <c r="B64" s="12" t="str">
        <f>CONCATENATE("          ","6336"," - ","PROFESSIONAL SERVICES")</f>
        <v xml:space="preserve">          6336 - PROFESSIONAL SERVICES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161.46</v>
      </c>
      <c r="Q64" s="3"/>
      <c r="R64" s="7">
        <f t="shared" si="12"/>
        <v>4.2704090959872442E-4</v>
      </c>
      <c r="S64" s="3"/>
      <c r="T64" s="8">
        <v>750</v>
      </c>
      <c r="U64" s="3"/>
      <c r="V64" s="7">
        <f t="shared" si="13"/>
        <v>2.0488948261307852E-3</v>
      </c>
      <c r="W64" s="3"/>
      <c r="X64" s="8">
        <f t="shared" si="14"/>
        <v>-588.54</v>
      </c>
      <c r="Y64" s="3"/>
      <c r="Z64" s="7">
        <f t="shared" si="15"/>
        <v>-0.78471999999999997</v>
      </c>
    </row>
    <row r="65" spans="1:26" s="69" customFormat="1" ht="15" customHeight="1" outlineLevel="1" collapsed="1" x14ac:dyDescent="0.25">
      <c r="A65" s="26"/>
      <c r="B65" s="14" t="str">
        <f>CONCATENATE("     ","Rent                                              ")</f>
        <v xml:space="preserve">     Rent                                              </v>
      </c>
      <c r="C65" s="14"/>
      <c r="D65" s="2">
        <f>SUM(OSRRefD22_10x_0)</f>
        <v>6900</v>
      </c>
      <c r="E65" s="2"/>
      <c r="F65" s="6">
        <f t="shared" si="8"/>
        <v>0.16557360094506532</v>
      </c>
      <c r="G65" s="2"/>
      <c r="H65" s="2">
        <f>SUM(OSRRefH22_10x_0)</f>
        <v>6900</v>
      </c>
      <c r="I65" s="2"/>
      <c r="J65" s="6">
        <f t="shared" si="9"/>
        <v>0.11001626327370133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SUM(OSRRefP22_10x_0)</f>
        <v>75900</v>
      </c>
      <c r="Q65" s="2"/>
      <c r="R65" s="6">
        <f t="shared" si="12"/>
        <v>0.20074572673444308</v>
      </c>
      <c r="S65" s="2"/>
      <c r="T65" s="2">
        <f>SUM(OSRRefT22_10x_0)</f>
        <v>75900</v>
      </c>
      <c r="U65" s="2"/>
      <c r="V65" s="6">
        <f t="shared" si="13"/>
        <v>0.20734815640443544</v>
      </c>
      <c r="W65" s="2"/>
      <c r="X65" s="2">
        <f t="shared" si="14"/>
        <v>0</v>
      </c>
      <c r="Y65" s="2"/>
      <c r="Z65" s="6">
        <f t="shared" si="15"/>
        <v>0</v>
      </c>
    </row>
    <row r="66" spans="1:26" s="70" customFormat="1" ht="15" hidden="1" customHeight="1" outlineLevel="2" x14ac:dyDescent="0.25">
      <c r="A66" s="25"/>
      <c r="B66" s="12" t="str">
        <f>CONCATENATE("          ","6273"," - ","RENT")</f>
        <v xml:space="preserve">          6273 - RENT</v>
      </c>
      <c r="C66" s="12"/>
      <c r="D66" s="8">
        <v>6900</v>
      </c>
      <c r="E66" s="3"/>
      <c r="F66" s="7">
        <f t="shared" si="8"/>
        <v>0.16557360094506532</v>
      </c>
      <c r="G66" s="3"/>
      <c r="H66" s="8">
        <v>6900</v>
      </c>
      <c r="I66" s="3"/>
      <c r="J66" s="7">
        <f t="shared" si="9"/>
        <v>0.11001626327370133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75900</v>
      </c>
      <c r="Q66" s="3"/>
      <c r="R66" s="7">
        <f t="shared" si="12"/>
        <v>0.20074572673444308</v>
      </c>
      <c r="S66" s="3"/>
      <c r="T66" s="8">
        <v>75900</v>
      </c>
      <c r="U66" s="3"/>
      <c r="V66" s="7">
        <f t="shared" si="13"/>
        <v>0.20734815640443544</v>
      </c>
      <c r="W66" s="3"/>
      <c r="X66" s="8">
        <f t="shared" si="14"/>
        <v>0</v>
      </c>
      <c r="Y66" s="3"/>
      <c r="Z66" s="7">
        <f t="shared" si="15"/>
        <v>0</v>
      </c>
    </row>
    <row r="67" spans="1:26" s="69" customFormat="1" ht="15" customHeight="1" outlineLevel="1" collapsed="1" x14ac:dyDescent="0.25">
      <c r="A67" s="26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0</v>
      </c>
      <c r="E67" s="2"/>
      <c r="F67" s="6">
        <f t="shared" si="8"/>
        <v>0</v>
      </c>
      <c r="G67" s="2"/>
      <c r="H67" s="2">
        <f>SUM(OSRRefH22_11x_0)</f>
        <v>115</v>
      </c>
      <c r="I67" s="2"/>
      <c r="J67" s="6">
        <f t="shared" si="9"/>
        <v>1.8336043878950221E-3</v>
      </c>
      <c r="K67" s="2"/>
      <c r="L67" s="2">
        <f t="shared" si="10"/>
        <v>-115</v>
      </c>
      <c r="M67" s="2"/>
      <c r="N67" s="6">
        <f t="shared" si="11"/>
        <v>-1</v>
      </c>
      <c r="O67" s="14"/>
      <c r="P67" s="2">
        <f>SUM(OSRRefP22_11x_0)</f>
        <v>1519.57</v>
      </c>
      <c r="Q67" s="2"/>
      <c r="R67" s="6">
        <f t="shared" si="12"/>
        <v>4.0190669825277692E-3</v>
      </c>
      <c r="S67" s="2"/>
      <c r="T67" s="2">
        <f>SUM(OSRRefT22_11x_0)</f>
        <v>1765</v>
      </c>
      <c r="U67" s="2"/>
      <c r="V67" s="6">
        <f t="shared" si="13"/>
        <v>4.8217324908277808E-3</v>
      </c>
      <c r="W67" s="2"/>
      <c r="X67" s="2">
        <f t="shared" si="14"/>
        <v>-245.43000000000006</v>
      </c>
      <c r="Y67" s="2"/>
      <c r="Z67" s="6">
        <f t="shared" si="15"/>
        <v>-0.13905382436260627</v>
      </c>
    </row>
    <row r="68" spans="1:26" s="70" customFormat="1" ht="15" hidden="1" customHeight="1" outlineLevel="2" x14ac:dyDescent="0.25">
      <c r="A68" s="25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8"/>
        <v>0</v>
      </c>
      <c r="G68" s="3"/>
      <c r="H68" s="8">
        <v>115</v>
      </c>
      <c r="I68" s="3"/>
      <c r="J68" s="7">
        <f t="shared" si="9"/>
        <v>1.8336043878950221E-3</v>
      </c>
      <c r="K68" s="3"/>
      <c r="L68" s="8">
        <f t="shared" si="10"/>
        <v>-115</v>
      </c>
      <c r="M68" s="3"/>
      <c r="N68" s="7">
        <f t="shared" si="11"/>
        <v>-1</v>
      </c>
      <c r="O68" s="12"/>
      <c r="P68" s="8">
        <v>696.76</v>
      </c>
      <c r="Q68" s="3"/>
      <c r="R68" s="7">
        <f t="shared" si="12"/>
        <v>1.8428404816797175E-3</v>
      </c>
      <c r="S68" s="3"/>
      <c r="T68" s="8">
        <v>1265</v>
      </c>
      <c r="U68" s="3"/>
      <c r="V68" s="7">
        <f t="shared" si="13"/>
        <v>3.4558026067405909E-3</v>
      </c>
      <c r="W68" s="3"/>
      <c r="X68" s="8">
        <f t="shared" si="14"/>
        <v>-568.24</v>
      </c>
      <c r="Y68" s="3"/>
      <c r="Z68" s="7">
        <f t="shared" si="15"/>
        <v>-0.449201581027668</v>
      </c>
    </row>
    <row r="69" spans="1:26" s="70" customFormat="1" ht="15" hidden="1" customHeight="1" outlineLevel="2" x14ac:dyDescent="0.25">
      <c r="A69" s="25"/>
      <c r="B69" s="12" t="str">
        <f>CONCATENATE("          ","6375"," - ","OUTSIDE REPAIRS &amp; MAINTENANCE")</f>
        <v xml:space="preserve">          6375 - OUTSIDE REPAIRS &amp; MAINTENANCE</v>
      </c>
      <c r="C69" s="12"/>
      <c r="D69" s="8"/>
      <c r="E69" s="3"/>
      <c r="F69" s="7">
        <f t="shared" si="8"/>
        <v>0</v>
      </c>
      <c r="G69" s="3"/>
      <c r="H69" s="8"/>
      <c r="I69" s="3"/>
      <c r="J69" s="7">
        <f t="shared" si="9"/>
        <v>0</v>
      </c>
      <c r="K69" s="3"/>
      <c r="L69" s="8">
        <f t="shared" si="10"/>
        <v>0</v>
      </c>
      <c r="M69" s="3"/>
      <c r="N69" s="7">
        <f t="shared" si="11"/>
        <v>0</v>
      </c>
      <c r="O69" s="12"/>
      <c r="P69" s="8">
        <v>822.81</v>
      </c>
      <c r="Q69" s="3"/>
      <c r="R69" s="7">
        <f t="shared" si="12"/>
        <v>2.1762265008480513E-3</v>
      </c>
      <c r="S69" s="3"/>
      <c r="T69" s="8">
        <v>500</v>
      </c>
      <c r="U69" s="3"/>
      <c r="V69" s="7">
        <f t="shared" si="13"/>
        <v>1.3659298840871901E-3</v>
      </c>
      <c r="W69" s="3"/>
      <c r="X69" s="8">
        <f t="shared" si="14"/>
        <v>322.80999999999995</v>
      </c>
      <c r="Y69" s="3"/>
      <c r="Z69" s="7">
        <f t="shared" si="15"/>
        <v>0.64561999999999986</v>
      </c>
    </row>
    <row r="70" spans="1:26" s="69" customFormat="1" ht="15" customHeight="1" outlineLevel="1" collapsed="1" x14ac:dyDescent="0.25">
      <c r="A70" s="26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223.45</v>
      </c>
      <c r="E70" s="2"/>
      <c r="F70" s="6">
        <f t="shared" si="8"/>
        <v>5.3619450914746151E-3</v>
      </c>
      <c r="G70" s="2"/>
      <c r="H70" s="2">
        <f>SUM(OSRRefH22_12x_0)</f>
        <v>60</v>
      </c>
      <c r="I70" s="2"/>
      <c r="J70" s="6">
        <f t="shared" si="9"/>
        <v>9.5666315890175066E-4</v>
      </c>
      <c r="K70" s="2"/>
      <c r="L70" s="2">
        <f t="shared" si="10"/>
        <v>163.44999999999999</v>
      </c>
      <c r="M70" s="2"/>
      <c r="N70" s="6">
        <f t="shared" si="11"/>
        <v>2.7241666666666666</v>
      </c>
      <c r="O70" s="14"/>
      <c r="P70" s="2">
        <f>SUM(OSRRefP22_12x_0)</f>
        <v>1876.0099999999998</v>
      </c>
      <c r="Q70" s="2"/>
      <c r="R70" s="6">
        <f t="shared" si="12"/>
        <v>4.9618048855215088E-3</v>
      </c>
      <c r="S70" s="2"/>
      <c r="T70" s="2">
        <f>SUM(OSRRefT22_12x_0)</f>
        <v>840</v>
      </c>
      <c r="U70" s="2"/>
      <c r="V70" s="6">
        <f t="shared" si="13"/>
        <v>2.2947622052664793E-3</v>
      </c>
      <c r="W70" s="2"/>
      <c r="X70" s="2">
        <f t="shared" si="14"/>
        <v>1036.0099999999998</v>
      </c>
      <c r="Y70" s="2"/>
      <c r="Z70" s="6">
        <f t="shared" si="15"/>
        <v>1.2333452380952379</v>
      </c>
    </row>
    <row r="71" spans="1:26" s="70" customFormat="1" ht="15" hidden="1" customHeight="1" outlineLevel="2" x14ac:dyDescent="0.25">
      <c r="A71" s="25"/>
      <c r="B71" s="12" t="str">
        <f>CONCATENATE("          ","6284"," - ","TRASH REMOVAL EXPENSE")</f>
        <v xml:space="preserve">          6284 - TRASH REMOVAL EXPENSE</v>
      </c>
      <c r="C71" s="12"/>
      <c r="D71" s="8">
        <v>149.69999999999999</v>
      </c>
      <c r="E71" s="3"/>
      <c r="F71" s="7">
        <f t="shared" si="8"/>
        <v>3.5922272552864169E-3</v>
      </c>
      <c r="G71" s="3"/>
      <c r="H71" s="8">
        <v>60</v>
      </c>
      <c r="I71" s="3"/>
      <c r="J71" s="7">
        <f t="shared" si="9"/>
        <v>9.5666315890175066E-4</v>
      </c>
      <c r="K71" s="3"/>
      <c r="L71" s="8">
        <f t="shared" si="10"/>
        <v>89.699999999999989</v>
      </c>
      <c r="M71" s="3"/>
      <c r="N71" s="7">
        <f t="shared" si="11"/>
        <v>1.4949999999999999</v>
      </c>
      <c r="O71" s="12"/>
      <c r="P71" s="8">
        <v>1489.87</v>
      </c>
      <c r="Q71" s="3"/>
      <c r="R71" s="7">
        <f t="shared" si="12"/>
        <v>3.9405143068490739E-3</v>
      </c>
      <c r="S71" s="3"/>
      <c r="T71" s="8">
        <v>840</v>
      </c>
      <c r="U71" s="3"/>
      <c r="V71" s="7">
        <f t="shared" si="13"/>
        <v>2.2947622052664793E-3</v>
      </c>
      <c r="W71" s="3"/>
      <c r="X71" s="8">
        <f t="shared" si="14"/>
        <v>649.86999999999989</v>
      </c>
      <c r="Y71" s="3"/>
      <c r="Z71" s="7">
        <f t="shared" si="15"/>
        <v>0.77365476190476179</v>
      </c>
    </row>
    <row r="72" spans="1:26" s="70" customFormat="1" ht="15" hidden="1" customHeight="1" outlineLevel="2" x14ac:dyDescent="0.25">
      <c r="A72" s="25"/>
      <c r="B72" s="12" t="str">
        <f>CONCATENATE("          ","6285"," - ","JANITORIAL SERVICES")</f>
        <v xml:space="preserve">          6285 - JANITORIAL SERVICES</v>
      </c>
      <c r="C72" s="12"/>
      <c r="D72" s="8">
        <v>73.75</v>
      </c>
      <c r="E72" s="3"/>
      <c r="F72" s="7">
        <f t="shared" si="8"/>
        <v>1.7697178361881982E-3</v>
      </c>
      <c r="G72" s="3"/>
      <c r="H72" s="8"/>
      <c r="I72" s="3"/>
      <c r="J72" s="7">
        <f t="shared" si="9"/>
        <v>0</v>
      </c>
      <c r="K72" s="3"/>
      <c r="L72" s="8">
        <f t="shared" si="10"/>
        <v>73.75</v>
      </c>
      <c r="M72" s="3"/>
      <c r="N72" s="7">
        <f t="shared" si="11"/>
        <v>0</v>
      </c>
      <c r="O72" s="12"/>
      <c r="P72" s="8">
        <v>386.14</v>
      </c>
      <c r="Q72" s="3"/>
      <c r="R72" s="7">
        <f t="shared" si="12"/>
        <v>1.0212905786724355E-3</v>
      </c>
      <c r="S72" s="3"/>
      <c r="T72" s="8"/>
      <c r="U72" s="3"/>
      <c r="V72" s="7">
        <f t="shared" si="13"/>
        <v>0</v>
      </c>
      <c r="W72" s="3"/>
      <c r="X72" s="8">
        <f t="shared" si="14"/>
        <v>386.14</v>
      </c>
      <c r="Y72" s="3"/>
      <c r="Z72" s="7">
        <f t="shared" si="15"/>
        <v>0</v>
      </c>
    </row>
    <row r="73" spans="1:26" s="69" customFormat="1" ht="15" customHeight="1" outlineLevel="1" collapsed="1" x14ac:dyDescent="0.25">
      <c r="A73" s="26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SUM(OSRRefD22_13x_0)</f>
        <v>0</v>
      </c>
      <c r="E73" s="2"/>
      <c r="F73" s="6">
        <f t="shared" si="8"/>
        <v>0</v>
      </c>
      <c r="G73" s="2"/>
      <c r="H73" s="2">
        <f>SUM(OSRRefH22_13x_0)</f>
        <v>81</v>
      </c>
      <c r="I73" s="2"/>
      <c r="J73" s="6">
        <f t="shared" si="9"/>
        <v>1.2914952645173635E-3</v>
      </c>
      <c r="K73" s="2"/>
      <c r="L73" s="2">
        <f t="shared" si="10"/>
        <v>-81</v>
      </c>
      <c r="M73" s="2"/>
      <c r="N73" s="6">
        <f t="shared" si="11"/>
        <v>-1</v>
      </c>
      <c r="O73" s="14"/>
      <c r="P73" s="2">
        <f>SUM(OSRRefP22_13x_0)</f>
        <v>0</v>
      </c>
      <c r="Q73" s="2"/>
      <c r="R73" s="6">
        <f t="shared" si="12"/>
        <v>0</v>
      </c>
      <c r="S73" s="2"/>
      <c r="T73" s="2">
        <f>SUM(OSRRefT22_13x_0)</f>
        <v>1186</v>
      </c>
      <c r="U73" s="2"/>
      <c r="V73" s="6">
        <f t="shared" si="13"/>
        <v>3.2399856850548149E-3</v>
      </c>
      <c r="W73" s="2"/>
      <c r="X73" s="2">
        <f t="shared" si="14"/>
        <v>-1186</v>
      </c>
      <c r="Y73" s="2"/>
      <c r="Z73" s="6">
        <f t="shared" si="15"/>
        <v>-1</v>
      </c>
    </row>
    <row r="74" spans="1:26" s="70" customFormat="1" ht="15" hidden="1" customHeight="1" outlineLevel="2" x14ac:dyDescent="0.25">
      <c r="A74" s="25"/>
      <c r="B74" s="12" t="str">
        <f>CONCATENATE("          ","6258"," - ","MEMBERSHIP DUES")</f>
        <v xml:space="preserve">          6258 - MEMBERSHIP DUES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/>
      <c r="Q74" s="3"/>
      <c r="R74" s="7">
        <f t="shared" si="12"/>
        <v>0</v>
      </c>
      <c r="S74" s="3"/>
      <c r="T74" s="8">
        <v>395</v>
      </c>
      <c r="U74" s="3"/>
      <c r="V74" s="7">
        <f t="shared" si="13"/>
        <v>1.0790846084288801E-3</v>
      </c>
      <c r="W74" s="3"/>
      <c r="X74" s="8">
        <f t="shared" si="14"/>
        <v>-395</v>
      </c>
      <c r="Y74" s="3"/>
      <c r="Z74" s="7">
        <f t="shared" si="15"/>
        <v>-1</v>
      </c>
    </row>
    <row r="75" spans="1:26" s="70" customFormat="1" ht="15" hidden="1" customHeight="1" outlineLevel="2" x14ac:dyDescent="0.25">
      <c r="A75" s="25"/>
      <c r="B75" s="12" t="str">
        <f>CONCATENATE("          ","6275"," - ","SUBSCRIPTIONS")</f>
        <v xml:space="preserve">          6275 - SUBSCRIPTIONS</v>
      </c>
      <c r="C75" s="12"/>
      <c r="D75" s="8"/>
      <c r="E75" s="3"/>
      <c r="F75" s="7">
        <f t="shared" si="8"/>
        <v>0</v>
      </c>
      <c r="G75" s="3"/>
      <c r="H75" s="8">
        <v>81</v>
      </c>
      <c r="I75" s="3"/>
      <c r="J75" s="7">
        <f t="shared" si="9"/>
        <v>1.2914952645173635E-3</v>
      </c>
      <c r="K75" s="3"/>
      <c r="L75" s="8">
        <f t="shared" si="10"/>
        <v>-81</v>
      </c>
      <c r="M75" s="3"/>
      <c r="N75" s="7">
        <f t="shared" si="11"/>
        <v>-1</v>
      </c>
      <c r="O75" s="12"/>
      <c r="P75" s="8"/>
      <c r="Q75" s="3"/>
      <c r="R75" s="7">
        <f t="shared" si="12"/>
        <v>0</v>
      </c>
      <c r="S75" s="3"/>
      <c r="T75" s="8">
        <v>791</v>
      </c>
      <c r="U75" s="3"/>
      <c r="V75" s="7">
        <f t="shared" si="13"/>
        <v>2.1609010766259346E-3</v>
      </c>
      <c r="W75" s="3"/>
      <c r="X75" s="8">
        <f t="shared" si="14"/>
        <v>-791</v>
      </c>
      <c r="Y75" s="3"/>
      <c r="Z75" s="7">
        <f t="shared" si="15"/>
        <v>-1</v>
      </c>
    </row>
    <row r="76" spans="1:26" s="69" customFormat="1" ht="15" customHeight="1" outlineLevel="1" collapsed="1" x14ac:dyDescent="0.25">
      <c r="A76" s="26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128.76</v>
      </c>
      <c r="E76" s="2"/>
      <c r="F76" s="6">
        <f t="shared" si="8"/>
        <v>3.089747370679219E-3</v>
      </c>
      <c r="G76" s="2"/>
      <c r="H76" s="2">
        <f>SUM(OSRRefH22_14x_0)</f>
        <v>70</v>
      </c>
      <c r="I76" s="2"/>
      <c r="J76" s="6">
        <f t="shared" si="9"/>
        <v>1.1161070187187092E-3</v>
      </c>
      <c r="K76" s="2"/>
      <c r="L76" s="2">
        <f t="shared" si="10"/>
        <v>58.759999999999991</v>
      </c>
      <c r="M76" s="2"/>
      <c r="N76" s="6">
        <f t="shared" si="11"/>
        <v>0.8394285714285713</v>
      </c>
      <c r="O76" s="14"/>
      <c r="P76" s="2">
        <f>SUM(OSRRefP22_14x_0)</f>
        <v>1881.51</v>
      </c>
      <c r="Q76" s="2"/>
      <c r="R76" s="6">
        <f t="shared" si="12"/>
        <v>4.9763516773138608E-3</v>
      </c>
      <c r="S76" s="2"/>
      <c r="T76" s="2">
        <f>SUM(OSRRefT22_14x_0)</f>
        <v>450</v>
      </c>
      <c r="U76" s="2"/>
      <c r="V76" s="6">
        <f t="shared" si="13"/>
        <v>1.229336895678471E-3</v>
      </c>
      <c r="W76" s="2"/>
      <c r="X76" s="2">
        <f t="shared" si="14"/>
        <v>1431.51</v>
      </c>
      <c r="Y76" s="2"/>
      <c r="Z76" s="6">
        <f t="shared" si="15"/>
        <v>3.1811333333333334</v>
      </c>
    </row>
    <row r="77" spans="1:26" s="70" customFormat="1" ht="15" hidden="1" customHeight="1" outlineLevel="2" x14ac:dyDescent="0.25">
      <c r="A77" s="25"/>
      <c r="B77" s="12" t="str">
        <f>CONCATENATE("          ","6237"," - ","JANITORIAL SUPPLIES")</f>
        <v xml:space="preserve">          6237 - JANITORIAL SUPPLIES</v>
      </c>
      <c r="C77" s="12"/>
      <c r="D77" s="8">
        <v>82.78</v>
      </c>
      <c r="E77" s="3"/>
      <c r="F77" s="7">
        <f t="shared" si="8"/>
        <v>1.9864032878597836E-3</v>
      </c>
      <c r="G77" s="3"/>
      <c r="H77" s="8">
        <v>50</v>
      </c>
      <c r="I77" s="3"/>
      <c r="J77" s="7">
        <f t="shared" si="9"/>
        <v>7.9721929908479225E-4</v>
      </c>
      <c r="K77" s="3"/>
      <c r="L77" s="8">
        <f t="shared" si="10"/>
        <v>32.78</v>
      </c>
      <c r="M77" s="3"/>
      <c r="N77" s="7">
        <f t="shared" si="11"/>
        <v>0.65560000000000007</v>
      </c>
      <c r="O77" s="12"/>
      <c r="P77" s="8">
        <v>852.79</v>
      </c>
      <c r="Q77" s="3"/>
      <c r="R77" s="7">
        <f t="shared" si="12"/>
        <v>2.2555197404725389E-3</v>
      </c>
      <c r="S77" s="3"/>
      <c r="T77" s="8">
        <v>230</v>
      </c>
      <c r="U77" s="3"/>
      <c r="V77" s="7">
        <f t="shared" si="13"/>
        <v>6.2832774668010742E-4</v>
      </c>
      <c r="W77" s="3"/>
      <c r="X77" s="8">
        <f t="shared" si="14"/>
        <v>622.79</v>
      </c>
      <c r="Y77" s="3"/>
      <c r="Z77" s="7">
        <f t="shared" si="15"/>
        <v>2.707782608695652</v>
      </c>
    </row>
    <row r="78" spans="1:26" s="70" customFormat="1" ht="15" hidden="1" customHeight="1" outlineLevel="2" x14ac:dyDescent="0.25">
      <c r="A78" s="25"/>
      <c r="B78" s="12" t="str">
        <f>CONCATENATE("          ","6241"," - ","OFFICE EXPENSE")</f>
        <v xml:space="preserve">          6241 - OFFICE EXPENSE</v>
      </c>
      <c r="C78" s="12"/>
      <c r="D78" s="8">
        <v>13.98</v>
      </c>
      <c r="E78" s="3"/>
      <c r="F78" s="7">
        <f t="shared" si="8"/>
        <v>3.3546651321913237E-4</v>
      </c>
      <c r="G78" s="3"/>
      <c r="H78" s="8">
        <v>20</v>
      </c>
      <c r="I78" s="3"/>
      <c r="J78" s="7">
        <f t="shared" si="9"/>
        <v>3.1888771963391692E-4</v>
      </c>
      <c r="K78" s="3"/>
      <c r="L78" s="8">
        <f t="shared" si="10"/>
        <v>-6.02</v>
      </c>
      <c r="M78" s="3"/>
      <c r="N78" s="7">
        <f t="shared" si="11"/>
        <v>-0.30099999999999999</v>
      </c>
      <c r="O78" s="12"/>
      <c r="P78" s="8">
        <v>392.77</v>
      </c>
      <c r="Q78" s="3"/>
      <c r="R78" s="7">
        <f t="shared" si="12"/>
        <v>1.0388260749603058E-3</v>
      </c>
      <c r="S78" s="3"/>
      <c r="T78" s="8">
        <v>220</v>
      </c>
      <c r="U78" s="3"/>
      <c r="V78" s="7">
        <f t="shared" si="13"/>
        <v>6.0100914899836357E-4</v>
      </c>
      <c r="W78" s="3"/>
      <c r="X78" s="8">
        <f t="shared" si="14"/>
        <v>172.76999999999998</v>
      </c>
      <c r="Y78" s="3"/>
      <c r="Z78" s="7">
        <f t="shared" si="15"/>
        <v>0.78531818181818169</v>
      </c>
    </row>
    <row r="79" spans="1:26" s="70" customFormat="1" ht="15" hidden="1" customHeight="1" outlineLevel="2" x14ac:dyDescent="0.25">
      <c r="A79" s="25"/>
      <c r="B79" s="12" t="str">
        <f>CONCATENATE("          ","6247"," - ","STORE SUPPLIES")</f>
        <v xml:space="preserve">          6247 - STORE SUPPLIES</v>
      </c>
      <c r="C79" s="12"/>
      <c r="D79" s="8">
        <v>32</v>
      </c>
      <c r="E79" s="3"/>
      <c r="F79" s="7">
        <f t="shared" si="8"/>
        <v>7.6787756960030294E-4</v>
      </c>
      <c r="G79" s="3"/>
      <c r="H79" s="8"/>
      <c r="I79" s="3"/>
      <c r="J79" s="7">
        <f t="shared" si="9"/>
        <v>0</v>
      </c>
      <c r="K79" s="3"/>
      <c r="L79" s="8">
        <f t="shared" si="10"/>
        <v>32</v>
      </c>
      <c r="M79" s="3"/>
      <c r="N79" s="7">
        <f t="shared" si="11"/>
        <v>0</v>
      </c>
      <c r="O79" s="12"/>
      <c r="P79" s="8">
        <v>635.95000000000005</v>
      </c>
      <c r="Q79" s="3"/>
      <c r="R79" s="7">
        <f t="shared" si="12"/>
        <v>1.6820058618810156E-3</v>
      </c>
      <c r="S79" s="3"/>
      <c r="T79" s="8"/>
      <c r="U79" s="3"/>
      <c r="V79" s="7">
        <f t="shared" si="13"/>
        <v>0</v>
      </c>
      <c r="W79" s="3"/>
      <c r="X79" s="8">
        <f t="shared" si="14"/>
        <v>635.95000000000005</v>
      </c>
      <c r="Y79" s="3"/>
      <c r="Z79" s="7">
        <f t="shared" si="15"/>
        <v>0</v>
      </c>
    </row>
    <row r="80" spans="1:26" s="69" customFormat="1" ht="15" customHeight="1" outlineLevel="1" collapsed="1" x14ac:dyDescent="0.25">
      <c r="A80" s="26"/>
      <c r="B80" s="14" t="str">
        <f>CONCATENATE("     ","Telephone/Data Lines                              ")</f>
        <v xml:space="preserve">     Telephone/Data Lines                              </v>
      </c>
      <c r="C80" s="14"/>
      <c r="D80" s="2">
        <f>SUM(OSRRefD22_15x_0)</f>
        <v>310.33999999999997</v>
      </c>
      <c r="E80" s="2"/>
      <c r="F80" s="6">
        <f t="shared" si="8"/>
        <v>7.4469726546799375E-3</v>
      </c>
      <c r="G80" s="2"/>
      <c r="H80" s="2">
        <f>SUM(OSRRefH22_15x_0)</f>
        <v>250</v>
      </c>
      <c r="I80" s="2"/>
      <c r="J80" s="6">
        <f t="shared" si="9"/>
        <v>3.9860964954239611E-3</v>
      </c>
      <c r="K80" s="2"/>
      <c r="L80" s="2">
        <f t="shared" si="10"/>
        <v>60.339999999999975</v>
      </c>
      <c r="M80" s="2"/>
      <c r="N80" s="6">
        <f t="shared" si="11"/>
        <v>0.24135999999999991</v>
      </c>
      <c r="O80" s="14"/>
      <c r="P80" s="2">
        <f>SUM(OSRRefP22_15x_0)</f>
        <v>3420.94</v>
      </c>
      <c r="Q80" s="2"/>
      <c r="R80" s="6">
        <f t="shared" si="12"/>
        <v>9.0479458025681907E-3</v>
      </c>
      <c r="S80" s="2"/>
      <c r="T80" s="2">
        <f>SUM(OSRRefT22_15x_0)</f>
        <v>2750</v>
      </c>
      <c r="U80" s="2"/>
      <c r="V80" s="6">
        <f t="shared" si="13"/>
        <v>7.5126143624795454E-3</v>
      </c>
      <c r="W80" s="2"/>
      <c r="X80" s="2">
        <f t="shared" si="14"/>
        <v>670.94</v>
      </c>
      <c r="Y80" s="2"/>
      <c r="Z80" s="6">
        <f t="shared" si="15"/>
        <v>0.24397818181818184</v>
      </c>
    </row>
    <row r="81" spans="1:26" s="70" customFormat="1" ht="15" hidden="1" customHeight="1" outlineLevel="2" x14ac:dyDescent="0.25">
      <c r="A81" s="25"/>
      <c r="B81" s="12" t="str">
        <f>CONCATENATE("          ","6309"," - ","TELEPHONE")</f>
        <v xml:space="preserve">          6309 - TELEPHONE</v>
      </c>
      <c r="C81" s="12"/>
      <c r="D81" s="8">
        <v>310.33999999999997</v>
      </c>
      <c r="E81" s="3"/>
      <c r="F81" s="7">
        <f t="shared" si="8"/>
        <v>7.4469726546799375E-3</v>
      </c>
      <c r="G81" s="3"/>
      <c r="H81" s="8">
        <v>250</v>
      </c>
      <c r="I81" s="3"/>
      <c r="J81" s="7">
        <f t="shared" si="9"/>
        <v>3.9860964954239611E-3</v>
      </c>
      <c r="K81" s="3"/>
      <c r="L81" s="8">
        <f t="shared" si="10"/>
        <v>60.339999999999975</v>
      </c>
      <c r="M81" s="3"/>
      <c r="N81" s="7">
        <f t="shared" si="11"/>
        <v>0.24135999999999991</v>
      </c>
      <c r="O81" s="12"/>
      <c r="P81" s="8">
        <v>3420.94</v>
      </c>
      <c r="Q81" s="3"/>
      <c r="R81" s="7">
        <f t="shared" si="12"/>
        <v>9.0479458025681907E-3</v>
      </c>
      <c r="S81" s="3"/>
      <c r="T81" s="8">
        <v>2750</v>
      </c>
      <c r="U81" s="3"/>
      <c r="V81" s="7">
        <f t="shared" si="13"/>
        <v>7.5126143624795454E-3</v>
      </c>
      <c r="W81" s="3"/>
      <c r="X81" s="8">
        <f t="shared" si="14"/>
        <v>670.94</v>
      </c>
      <c r="Y81" s="3"/>
      <c r="Z81" s="7">
        <f t="shared" si="15"/>
        <v>0.24397818181818184</v>
      </c>
    </row>
    <row r="82" spans="1:26" s="69" customFormat="1" ht="15" customHeight="1" outlineLevel="1" collapsed="1" x14ac:dyDescent="0.25">
      <c r="A82" s="26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SUM(OSRRefD22_16x_0)</f>
        <v>18.71</v>
      </c>
      <c r="E82" s="2"/>
      <c r="F82" s="6">
        <f t="shared" si="8"/>
        <v>4.4896841647567719E-4</v>
      </c>
      <c r="G82" s="2"/>
      <c r="H82" s="2">
        <f>SUM(OSRRefH22_16x_0)</f>
        <v>25</v>
      </c>
      <c r="I82" s="2"/>
      <c r="J82" s="6">
        <f t="shared" si="9"/>
        <v>3.9860964954239612E-4</v>
      </c>
      <c r="K82" s="2"/>
      <c r="L82" s="2">
        <f t="shared" si="10"/>
        <v>-6.2899999999999991</v>
      </c>
      <c r="M82" s="2"/>
      <c r="N82" s="6">
        <f t="shared" si="11"/>
        <v>-0.25159999999999999</v>
      </c>
      <c r="O82" s="14"/>
      <c r="P82" s="2">
        <f>SUM(OSRRefP22_16x_0)</f>
        <v>344.8</v>
      </c>
      <c r="Q82" s="2"/>
      <c r="R82" s="6">
        <f t="shared" si="12"/>
        <v>9.1195160181865582E-4</v>
      </c>
      <c r="S82" s="2"/>
      <c r="T82" s="2">
        <f>SUM(OSRRefT22_16x_0)</f>
        <v>525</v>
      </c>
      <c r="U82" s="2"/>
      <c r="V82" s="6">
        <f t="shared" si="13"/>
        <v>1.4342263782915496E-3</v>
      </c>
      <c r="W82" s="2"/>
      <c r="X82" s="2">
        <f t="shared" si="14"/>
        <v>-180.2</v>
      </c>
      <c r="Y82" s="2"/>
      <c r="Z82" s="6">
        <f t="shared" si="15"/>
        <v>-0.34323809523809523</v>
      </c>
    </row>
    <row r="83" spans="1:26" s="70" customFormat="1" ht="15" hidden="1" customHeight="1" outlineLevel="2" x14ac:dyDescent="0.25">
      <c r="A83" s="25"/>
      <c r="B83" s="12" t="str">
        <f>CONCATENATE("          ","6294"," - ","TRAVEL OPERATIONAL")</f>
        <v xml:space="preserve">          6294 - TRAVEL OPERATIONAL</v>
      </c>
      <c r="C83" s="12"/>
      <c r="D83" s="8">
        <v>18.71</v>
      </c>
      <c r="E83" s="3"/>
      <c r="F83" s="7">
        <f t="shared" si="8"/>
        <v>4.4896841647567719E-4</v>
      </c>
      <c r="G83" s="3"/>
      <c r="H83" s="8"/>
      <c r="I83" s="3"/>
      <c r="J83" s="7">
        <f t="shared" si="9"/>
        <v>0</v>
      </c>
      <c r="K83" s="3"/>
      <c r="L83" s="8">
        <f t="shared" si="10"/>
        <v>18.71</v>
      </c>
      <c r="M83" s="3"/>
      <c r="N83" s="7">
        <f t="shared" si="11"/>
        <v>0</v>
      </c>
      <c r="O83" s="12"/>
      <c r="P83" s="8">
        <v>344.8</v>
      </c>
      <c r="Q83" s="3"/>
      <c r="R83" s="7">
        <f t="shared" si="12"/>
        <v>9.1195160181865582E-4</v>
      </c>
      <c r="S83" s="3"/>
      <c r="T83" s="8"/>
      <c r="U83" s="3"/>
      <c r="V83" s="7">
        <f t="shared" si="13"/>
        <v>0</v>
      </c>
      <c r="W83" s="3"/>
      <c r="X83" s="8">
        <f t="shared" si="14"/>
        <v>344.8</v>
      </c>
      <c r="Y83" s="3"/>
      <c r="Z83" s="7">
        <f t="shared" si="15"/>
        <v>0</v>
      </c>
    </row>
    <row r="84" spans="1:26" s="70" customFormat="1" ht="15" hidden="1" customHeight="1" outlineLevel="2" x14ac:dyDescent="0.25">
      <c r="A84" s="25"/>
      <c r="B84" s="12" t="str">
        <f>CONCATENATE("          ","6298"," - ","VEHICLE MILEAGE")</f>
        <v xml:space="preserve">          6298 - VEHICLE MILEAGE</v>
      </c>
      <c r="C84" s="12"/>
      <c r="D84" s="8"/>
      <c r="E84" s="3"/>
      <c r="F84" s="7">
        <f t="shared" si="8"/>
        <v>0</v>
      </c>
      <c r="G84" s="3"/>
      <c r="H84" s="8">
        <v>25</v>
      </c>
      <c r="I84" s="3"/>
      <c r="J84" s="7">
        <f t="shared" si="9"/>
        <v>3.9860964954239612E-4</v>
      </c>
      <c r="K84" s="3"/>
      <c r="L84" s="8">
        <f t="shared" si="10"/>
        <v>-25</v>
      </c>
      <c r="M84" s="3"/>
      <c r="N84" s="7">
        <f t="shared" si="11"/>
        <v>-1</v>
      </c>
      <c r="O84" s="12"/>
      <c r="P84" s="8"/>
      <c r="Q84" s="3"/>
      <c r="R84" s="7">
        <f t="shared" si="12"/>
        <v>0</v>
      </c>
      <c r="S84" s="3"/>
      <c r="T84" s="8">
        <v>525</v>
      </c>
      <c r="U84" s="3"/>
      <c r="V84" s="7">
        <f t="shared" si="13"/>
        <v>1.4342263782915496E-3</v>
      </c>
      <c r="W84" s="3"/>
      <c r="X84" s="8">
        <f t="shared" si="14"/>
        <v>-525</v>
      </c>
      <c r="Y84" s="3"/>
      <c r="Z84" s="7">
        <f t="shared" si="15"/>
        <v>-1</v>
      </c>
    </row>
    <row r="85" spans="1:26" s="69" customFormat="1" ht="15" customHeight="1" outlineLevel="1" collapsed="1" x14ac:dyDescent="0.25">
      <c r="A85" s="26"/>
      <c r="B85" s="14" t="str">
        <f>CONCATENATE("     ","Utilities                                         ")</f>
        <v xml:space="preserve">     Utilities                                         </v>
      </c>
      <c r="C85" s="14"/>
      <c r="D85" s="2">
        <f>SUM(OSRRefD22_17x_0)</f>
        <v>16.670000000000002</v>
      </c>
      <c r="E85" s="2"/>
      <c r="F85" s="6">
        <f t="shared" si="8"/>
        <v>4.0001622141365786E-4</v>
      </c>
      <c r="G85" s="2"/>
      <c r="H85" s="2">
        <f>SUM(OSRRefH22_17x_0)</f>
        <v>120</v>
      </c>
      <c r="I85" s="2"/>
      <c r="J85" s="6">
        <f t="shared" si="9"/>
        <v>1.9133263178035013E-3</v>
      </c>
      <c r="K85" s="2"/>
      <c r="L85" s="2">
        <f t="shared" si="10"/>
        <v>-103.33</v>
      </c>
      <c r="M85" s="2"/>
      <c r="N85" s="6">
        <f t="shared" si="11"/>
        <v>-0.86108333333333331</v>
      </c>
      <c r="O85" s="14"/>
      <c r="P85" s="2">
        <f>SUM(OSRRefP22_17x_0)</f>
        <v>1303.8900000000001</v>
      </c>
      <c r="Q85" s="2"/>
      <c r="R85" s="6">
        <f t="shared" si="12"/>
        <v>3.4486211545688146E-3</v>
      </c>
      <c r="S85" s="2"/>
      <c r="T85" s="2">
        <f>SUM(OSRRefT22_17x_0)</f>
        <v>4000</v>
      </c>
      <c r="U85" s="2"/>
      <c r="V85" s="6">
        <f t="shared" si="13"/>
        <v>1.092743907269752E-2</v>
      </c>
      <c r="W85" s="2"/>
      <c r="X85" s="2">
        <f t="shared" si="14"/>
        <v>-2696.1099999999997</v>
      </c>
      <c r="Y85" s="2"/>
      <c r="Z85" s="6">
        <f t="shared" si="15"/>
        <v>-0.67402749999999989</v>
      </c>
    </row>
    <row r="86" spans="1:26" s="70" customFormat="1" ht="15" hidden="1" customHeight="1" outlineLevel="2" x14ac:dyDescent="0.25">
      <c r="A86" s="25"/>
      <c r="B86" s="12" t="str">
        <f>CONCATENATE("          ","6274"," - ","UTILITIES")</f>
        <v xml:space="preserve">          6274 - UTILITIES</v>
      </c>
      <c r="C86" s="12"/>
      <c r="D86" s="8">
        <v>16.670000000000002</v>
      </c>
      <c r="E86" s="3"/>
      <c r="F86" s="7">
        <f t="shared" si="8"/>
        <v>4.0001622141365786E-4</v>
      </c>
      <c r="G86" s="3"/>
      <c r="H86" s="8">
        <v>120</v>
      </c>
      <c r="I86" s="3"/>
      <c r="J86" s="7">
        <f t="shared" si="9"/>
        <v>1.9133263178035013E-3</v>
      </c>
      <c r="K86" s="3"/>
      <c r="L86" s="8">
        <f t="shared" si="10"/>
        <v>-103.33</v>
      </c>
      <c r="M86" s="3"/>
      <c r="N86" s="7">
        <f t="shared" si="11"/>
        <v>-0.86108333333333331</v>
      </c>
      <c r="O86" s="12"/>
      <c r="P86" s="8">
        <v>1303.8900000000001</v>
      </c>
      <c r="Q86" s="3"/>
      <c r="R86" s="7">
        <f t="shared" si="12"/>
        <v>3.4486211545688146E-3</v>
      </c>
      <c r="S86" s="3"/>
      <c r="T86" s="8">
        <v>4000</v>
      </c>
      <c r="U86" s="3"/>
      <c r="V86" s="7">
        <f t="shared" si="13"/>
        <v>1.092743907269752E-2</v>
      </c>
      <c r="W86" s="3"/>
      <c r="X86" s="8">
        <f t="shared" si="14"/>
        <v>-2696.1099999999997</v>
      </c>
      <c r="Y86" s="3"/>
      <c r="Z86" s="7">
        <f t="shared" si="15"/>
        <v>-0.67402749999999989</v>
      </c>
    </row>
    <row r="87" spans="1:26" s="65" customFormat="1" ht="15" customHeight="1" x14ac:dyDescent="0.25">
      <c r="A87" s="35"/>
      <c r="B87" s="35"/>
      <c r="C87" s="35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5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3" customFormat="1" ht="15" customHeight="1" x14ac:dyDescent="0.25">
      <c r="A88" s="11"/>
      <c r="B88" s="27" t="s">
        <v>291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25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25">
      <c r="A90" s="11"/>
      <c r="B90" s="28" t="s">
        <v>292</v>
      </c>
      <c r="C90" s="28"/>
      <c r="D90" s="22">
        <f>+D24-D26+D88</f>
        <v>5093.5</v>
      </c>
      <c r="E90" s="15"/>
      <c r="F90" s="21">
        <f>IF(D$12=0,0,D90/D$12)</f>
        <v>0.12222451252372322</v>
      </c>
      <c r="G90" s="15"/>
      <c r="H90" s="22">
        <f>+H24-H26+H88</f>
        <v>13130.97285603077</v>
      </c>
      <c r="I90" s="15"/>
      <c r="J90" s="21">
        <f>IF(H$12=0,0,H90/H$12)</f>
        <v>0.20936529953172567</v>
      </c>
      <c r="K90" s="16"/>
      <c r="L90" s="22">
        <f>+D90-H90</f>
        <v>-8037.4728560307703</v>
      </c>
      <c r="M90" s="16"/>
      <c r="N90" s="21">
        <f>IF(H90=0,0,L90/H90)</f>
        <v>-0.6121003328659943</v>
      </c>
      <c r="O90" s="27"/>
      <c r="P90" s="22">
        <f>+P24-P26+P88</f>
        <v>10285.379999999917</v>
      </c>
      <c r="Q90" s="15"/>
      <c r="R90" s="21">
        <f>IF(P$12=0,0,P90/P$12)</f>
        <v>2.7203505702765345E-2</v>
      </c>
      <c r="S90" s="15"/>
      <c r="T90" s="22">
        <f>+T24-T26+T88</f>
        <v>-43988.99296183078</v>
      </c>
      <c r="U90" s="15"/>
      <c r="V90" s="21">
        <f>IF(T$12=0,0,T90/T$12)</f>
        <v>-0.12017176011493147</v>
      </c>
      <c r="W90" s="16"/>
      <c r="X90" s="22">
        <f>+P90-T90</f>
        <v>54274.372961830697</v>
      </c>
      <c r="Y90" s="16"/>
      <c r="Z90" s="21">
        <f>IF(T90=0,0,X90/T90)</f>
        <v>-1.2338171280466579</v>
      </c>
    </row>
    <row r="91" spans="1:26" ht="15" customHeight="1" x14ac:dyDescent="0.25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25">
      <c r="A92" s="49"/>
      <c r="B92" s="11" t="s">
        <v>293</v>
      </c>
      <c r="C92" s="11"/>
      <c r="D92" s="5">
        <v>4396.32</v>
      </c>
      <c r="E92" s="5"/>
      <c r="F92" s="13">
        <f>IF(D$12=0,0,D92/D$12)</f>
        <v>0.10549485989953762</v>
      </c>
      <c r="G92" s="5"/>
      <c r="H92" s="5">
        <v>8062</v>
      </c>
      <c r="I92" s="5"/>
      <c r="J92" s="13">
        <f>IF(H$12=0,0,H92/H$12)</f>
        <v>0.1285436397844319</v>
      </c>
      <c r="K92" s="5"/>
      <c r="L92" s="5">
        <f>+D92-H92</f>
        <v>-3665.6800000000003</v>
      </c>
      <c r="M92" s="5"/>
      <c r="N92" s="13">
        <f>IF(H92=0,0,L92/H92)</f>
        <v>-0.45468618208881173</v>
      </c>
      <c r="O92" s="11"/>
      <c r="P92" s="5">
        <v>42506.93</v>
      </c>
      <c r="Q92" s="5"/>
      <c r="R92" s="13">
        <f>IF(P$12=0,0,P92/P$12)</f>
        <v>0.1124253564440066</v>
      </c>
      <c r="S92" s="5"/>
      <c r="T92" s="5">
        <v>45377</v>
      </c>
      <c r="U92" s="5"/>
      <c r="V92" s="13">
        <f>IF(T$12=0,0,T92/T$12)</f>
        <v>0.12396360070044884</v>
      </c>
      <c r="W92" s="5"/>
      <c r="X92" s="5">
        <f>+P92-T92</f>
        <v>-2870.0699999999997</v>
      </c>
      <c r="Y92" s="5"/>
      <c r="Z92" s="13">
        <f>IF(T92=0,0,X92/T92)</f>
        <v>-6.324944355069749E-2</v>
      </c>
    </row>
    <row r="93" spans="1:26" ht="15" customHeight="1" x14ac:dyDescent="0.25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25">
      <c r="A94" s="11"/>
      <c r="B94" s="28" t="s">
        <v>294</v>
      </c>
      <c r="C94" s="28"/>
      <c r="D94" s="34">
        <f>+D90-D92</f>
        <v>697.18000000000029</v>
      </c>
      <c r="E94" s="15"/>
      <c r="F94" s="32">
        <f>IF(D$12=0,0,D94/D$12)</f>
        <v>1.6729652624185607E-2</v>
      </c>
      <c r="G94" s="15"/>
      <c r="H94" s="34">
        <f>+H90-H92</f>
        <v>5068.9728560307703</v>
      </c>
      <c r="I94" s="15"/>
      <c r="J94" s="32">
        <f>IF(H$12=0,0,H94/H$12)</f>
        <v>8.0821659747293759E-2</v>
      </c>
      <c r="K94" s="16"/>
      <c r="L94" s="34">
        <f>D94-H94</f>
        <v>-4371.7928560307701</v>
      </c>
      <c r="M94" s="16"/>
      <c r="N94" s="32">
        <f>IF(H94=0,0,L94/H94)</f>
        <v>-0.86246128756232421</v>
      </c>
      <c r="O94" s="27"/>
      <c r="P94" s="34">
        <f>+P90-P92</f>
        <v>-32221.550000000083</v>
      </c>
      <c r="Q94" s="15"/>
      <c r="R94" s="32">
        <f>IF(P$12=0,0,P94/P$12)</f>
        <v>-8.5221850741241251E-2</v>
      </c>
      <c r="S94" s="15"/>
      <c r="T94" s="34">
        <f>+T90-T92</f>
        <v>-89365.99296183078</v>
      </c>
      <c r="U94" s="15"/>
      <c r="V94" s="32">
        <f>IF(T$12=0,0,T94/T$12)</f>
        <v>-0.24413536081538031</v>
      </c>
      <c r="W94" s="16"/>
      <c r="X94" s="34">
        <f>P94-T94</f>
        <v>57144.442961830697</v>
      </c>
      <c r="Y94" s="16"/>
      <c r="Z94" s="32">
        <f>IF(T94=0,0,X94/T94)</f>
        <v>-0.63944282459030843</v>
      </c>
    </row>
    <row r="95" spans="1:26" ht="15" customHeight="1" x14ac:dyDescent="0.25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25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297</v>
      </c>
      <c r="C97" s="28"/>
      <c r="D97" s="30">
        <f>SUM(D94:D96)</f>
        <v>697.18000000000029</v>
      </c>
      <c r="E97" s="15"/>
      <c r="F97" s="33">
        <f>IF(D$12=0,0,D97/D$12)</f>
        <v>1.6729652624185607E-2</v>
      </c>
      <c r="G97" s="15"/>
      <c r="H97" s="30">
        <f>SUM(H94:H96)</f>
        <v>5068.9728560307703</v>
      </c>
      <c r="I97" s="15"/>
      <c r="J97" s="33">
        <f>IF(H$12=0,0,H97/H$12)</f>
        <v>8.0821659747293759E-2</v>
      </c>
      <c r="K97" s="16"/>
      <c r="L97" s="30">
        <f>+D97-H97</f>
        <v>-4371.7928560307701</v>
      </c>
      <c r="M97" s="16"/>
      <c r="N97" s="33">
        <f>IF(H97=0,0,L97/H97)</f>
        <v>-0.86246128756232421</v>
      </c>
      <c r="O97" s="27"/>
      <c r="P97" s="30">
        <f>SUM(P94:P96)</f>
        <v>-32221.550000000083</v>
      </c>
      <c r="Q97" s="15"/>
      <c r="R97" s="33">
        <f>IF(P$12=0,0,P97/P$12)</f>
        <v>-8.5221850741241251E-2</v>
      </c>
      <c r="S97" s="15"/>
      <c r="T97" s="30">
        <f>SUM(T94:T96)</f>
        <v>-89365.99296183078</v>
      </c>
      <c r="U97" s="15"/>
      <c r="V97" s="33">
        <f>IF(T$12=0,0,T97/T$12)</f>
        <v>-0.24413536081538031</v>
      </c>
      <c r="W97" s="16"/>
      <c r="X97" s="30">
        <f>+P97-T97</f>
        <v>57144.442961830697</v>
      </c>
      <c r="Y97" s="16"/>
      <c r="Z97" s="33">
        <f>IF(T97=0,0,X97/T97)</f>
        <v>-0.63944282459030843</v>
      </c>
    </row>
    <row r="98" spans="1:26" ht="15" customHeight="1" x14ac:dyDescent="0.25">
      <c r="A98" s="10"/>
      <c r="C98" s="10"/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  <row r="99" spans="1:26" ht="15" customHeight="1" x14ac:dyDescent="0.25">
      <c r="A99" s="10"/>
      <c r="B99" s="54">
        <v>44727.874527581022</v>
      </c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  <row r="100" spans="1:26" ht="15" customHeight="1" x14ac:dyDescent="0.25">
      <c r="A100" s="10"/>
      <c r="B100" s="50" t="s">
        <v>298</v>
      </c>
      <c r="D100" s="18"/>
      <c r="E100" s="18"/>
      <c r="G100" s="18"/>
      <c r="H100" s="18"/>
      <c r="I100" s="18"/>
      <c r="J100" s="40"/>
      <c r="K100" s="18"/>
      <c r="L100" s="18"/>
      <c r="M100" s="18"/>
      <c r="P100" s="18"/>
      <c r="Q100" s="18"/>
      <c r="R100" s="40"/>
      <c r="S100" s="18"/>
      <c r="T100" s="18"/>
      <c r="U100" s="18"/>
      <c r="V100" s="40"/>
      <c r="W100" s="18"/>
      <c r="X100" s="18"/>
    </row>
    <row r="101" spans="1:26" ht="15" customHeight="1" x14ac:dyDescent="0.25">
      <c r="A101" s="10"/>
      <c r="B101" s="58"/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EA602-63DF-6BDE-06B5-2547033EC6F5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299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>
        <f>SUM(0)</f>
        <v>0</v>
      </c>
      <c r="E18" s="23"/>
      <c r="F18" s="31">
        <f>IF(D$12=0,0,D18/D$12)</f>
        <v>0</v>
      </c>
      <c r="G18" s="23"/>
      <c r="H18" s="23">
        <f>SUM(0)</f>
        <v>0</v>
      </c>
      <c r="I18" s="23"/>
      <c r="J18" s="31">
        <f>IF(H$12=0,0,H18/H$12)</f>
        <v>0</v>
      </c>
      <c r="K18" s="5"/>
      <c r="L18" s="23">
        <f>+D18-H18</f>
        <v>0</v>
      </c>
      <c r="M18" s="5"/>
      <c r="N18" s="31">
        <f>IF(H18=0,0,L18/H18)</f>
        <v>0</v>
      </c>
      <c r="O18" s="11"/>
      <c r="P18" s="23">
        <f>SUM(0)</f>
        <v>0</v>
      </c>
      <c r="Q18" s="23"/>
      <c r="R18" s="31">
        <f>IF(P$12=0,0,P18/P$12)</f>
        <v>0</v>
      </c>
      <c r="S18" s="23"/>
      <c r="T18" s="23">
        <f>SUM(0)</f>
        <v>0</v>
      </c>
      <c r="U18" s="23"/>
      <c r="V18" s="31">
        <f>IF(T$12=0,0,T18/T$12)</f>
        <v>0</v>
      </c>
      <c r="W18" s="5"/>
      <c r="X18" s="23">
        <f>+P18-T18</f>
        <v>0</v>
      </c>
      <c r="Y18" s="5"/>
      <c r="Z18" s="31">
        <f>IF(T18=0,0,X18/T18)</f>
        <v>0</v>
      </c>
    </row>
    <row r="19" spans="1:26" s="65" customFormat="1" ht="15" customHeight="1" x14ac:dyDescent="0.25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25">
      <c r="A22" s="11"/>
      <c r="B22" s="28" t="s">
        <v>292</v>
      </c>
      <c r="C22" s="28"/>
      <c r="D22" s="22">
        <f>+D16-D18+D20</f>
        <v>0</v>
      </c>
      <c r="E22" s="15"/>
      <c r="F22" s="21">
        <f>IF(D$12=0,0,D22/D$12)</f>
        <v>0</v>
      </c>
      <c r="G22" s="15"/>
      <c r="H22" s="22">
        <f>+H16-H18+H20</f>
        <v>0</v>
      </c>
      <c r="I22" s="15"/>
      <c r="J22" s="21">
        <f>IF(H$12=0,0,H22/H$12)</f>
        <v>0</v>
      </c>
      <c r="K22" s="16"/>
      <c r="L22" s="22">
        <f>+D22-H22</f>
        <v>0</v>
      </c>
      <c r="M22" s="16"/>
      <c r="N22" s="21">
        <f>IF(H22=0,0,L22/H22)</f>
        <v>0</v>
      </c>
      <c r="O22" s="27"/>
      <c r="P22" s="22">
        <f>+P16-P18+P20</f>
        <v>0</v>
      </c>
      <c r="Q22" s="15"/>
      <c r="R22" s="21">
        <f>IF(P$12=0,0,P22/P$12)</f>
        <v>0</v>
      </c>
      <c r="S22" s="15"/>
      <c r="T22" s="22">
        <f>+T16-T18+T20</f>
        <v>0</v>
      </c>
      <c r="U22" s="15"/>
      <c r="V22" s="21">
        <f>IF(T$12=0,0,T22/T$12)</f>
        <v>0</v>
      </c>
      <c r="W22" s="16"/>
      <c r="X22" s="22">
        <f>+P22-T22</f>
        <v>0</v>
      </c>
      <c r="Y22" s="16"/>
      <c r="Z22" s="21">
        <f>IF(T22=0,0,X22/T22)</f>
        <v>0</v>
      </c>
    </row>
    <row r="23" spans="1:26" ht="15" customHeight="1" x14ac:dyDescent="0.25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25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25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25">
      <c r="A26" s="11"/>
      <c r="B26" s="28" t="s">
        <v>294</v>
      </c>
      <c r="C26" s="28"/>
      <c r="D26" s="34">
        <f>+D22-D24</f>
        <v>0</v>
      </c>
      <c r="E26" s="15"/>
      <c r="F26" s="32">
        <f>IF(D$12=0,0,D26/D$12)</f>
        <v>0</v>
      </c>
      <c r="G26" s="15"/>
      <c r="H26" s="34">
        <f>+H22-H24</f>
        <v>0</v>
      </c>
      <c r="I26" s="15"/>
      <c r="J26" s="32">
        <f>IF(H$12=0,0,H26/H$12)</f>
        <v>0</v>
      </c>
      <c r="K26" s="16"/>
      <c r="L26" s="34">
        <f>D26-H26</f>
        <v>0</v>
      </c>
      <c r="M26" s="16"/>
      <c r="N26" s="32">
        <f>IF(H26=0,0,L26/H26)</f>
        <v>0</v>
      </c>
      <c r="O26" s="27"/>
      <c r="P26" s="34">
        <f>+P22-P24</f>
        <v>0</v>
      </c>
      <c r="Q26" s="15"/>
      <c r="R26" s="32">
        <f>IF(P$12=0,0,P26/P$12)</f>
        <v>0</v>
      </c>
      <c r="S26" s="15"/>
      <c r="T26" s="34">
        <f>+T22-T24</f>
        <v>0</v>
      </c>
      <c r="U26" s="15"/>
      <c r="V26" s="32">
        <f>IF(T$12=0,0,T26/T$12)</f>
        <v>0</v>
      </c>
      <c r="W26" s="16"/>
      <c r="X26" s="34">
        <f>P26-T26</f>
        <v>0</v>
      </c>
      <c r="Y26" s="16"/>
      <c r="Z26" s="32">
        <f>IF(T26=0,0,X26/T26)</f>
        <v>0</v>
      </c>
    </row>
    <row r="27" spans="1:26" ht="15" customHeight="1" x14ac:dyDescent="0.25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25">
      <c r="A28" s="49"/>
      <c r="B28" s="11" t="s">
        <v>295</v>
      </c>
      <c r="C28" s="11"/>
      <c r="D28" s="5">
        <f>--34869.47</f>
        <v>34869.47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19869.47</v>
      </c>
      <c r="M28" s="5"/>
      <c r="N28" s="13">
        <f>IF(H28=0,0,L28/H28)</f>
        <v>1.3246313333333335</v>
      </c>
      <c r="O28" s="11"/>
      <c r="P28" s="5">
        <f>-1551961.8</f>
        <v>-1551961.8</v>
      </c>
      <c r="Q28" s="5"/>
      <c r="R28" s="13">
        <f>IF(P$12=0,0,P28/P$12)</f>
        <v>0</v>
      </c>
      <c r="S28" s="5"/>
      <c r="T28" s="5">
        <f>--165000</f>
        <v>165000</v>
      </c>
      <c r="U28" s="5"/>
      <c r="V28" s="13">
        <f>IF(T$12=0,0,T28/T$12)</f>
        <v>0</v>
      </c>
      <c r="W28" s="5"/>
      <c r="X28" s="5">
        <f>+P28-T28</f>
        <v>-1716961.8</v>
      </c>
      <c r="Y28" s="5"/>
      <c r="Z28" s="13">
        <f>IF(T28=0,0,X28/T28)</f>
        <v>-10.405829090909091</v>
      </c>
    </row>
    <row r="29" spans="1:26" s="63" customFormat="1" ht="15" customHeight="1" x14ac:dyDescent="0.25">
      <c r="A29" s="49"/>
      <c r="B29" s="11" t="s">
        <v>296</v>
      </c>
      <c r="C29" s="11"/>
      <c r="D29" s="5">
        <f>--27330.11</f>
        <v>27330.11</v>
      </c>
      <c r="E29" s="5"/>
      <c r="F29" s="13">
        <f>IF(D$12=0,0,D29/D$12)</f>
        <v>0</v>
      </c>
      <c r="G29" s="5"/>
      <c r="H29" s="5">
        <f>--15000</f>
        <v>15000</v>
      </c>
      <c r="I29" s="5"/>
      <c r="J29" s="13">
        <f>IF(H$12=0,0,H29/H$12)</f>
        <v>0</v>
      </c>
      <c r="K29" s="5"/>
      <c r="L29" s="5">
        <f>+D29-H29</f>
        <v>12330.11</v>
      </c>
      <c r="M29" s="5"/>
      <c r="N29" s="13">
        <f>IF(H29=0,0,L29/H29)</f>
        <v>0.82200733333333342</v>
      </c>
      <c r="O29" s="11"/>
      <c r="P29" s="5">
        <f>--2370117.56</f>
        <v>2370117.56</v>
      </c>
      <c r="Q29" s="5"/>
      <c r="R29" s="13">
        <f>IF(P$12=0,0,P29/P$12)</f>
        <v>0</v>
      </c>
      <c r="S29" s="5"/>
      <c r="T29" s="5">
        <f>--180000</f>
        <v>180000</v>
      </c>
      <c r="U29" s="5"/>
      <c r="V29" s="13">
        <f>IF(T$12=0,0,T29/T$12)</f>
        <v>0</v>
      </c>
      <c r="W29" s="5"/>
      <c r="X29" s="5">
        <f>+P29-T29</f>
        <v>2190117.56</v>
      </c>
      <c r="Y29" s="5"/>
      <c r="Z29" s="13">
        <f>IF(T29=0,0,X29/T29)</f>
        <v>12.167319777777777</v>
      </c>
    </row>
    <row r="30" spans="1:26" ht="15" customHeight="1" x14ac:dyDescent="0.25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297</v>
      </c>
      <c r="C31" s="28"/>
      <c r="D31" s="30">
        <f>SUM(D26:D30)</f>
        <v>62199.58</v>
      </c>
      <c r="E31" s="15"/>
      <c r="F31" s="33">
        <f>IF(D$12=0,0,D31/D$12)</f>
        <v>0</v>
      </c>
      <c r="G31" s="15"/>
      <c r="H31" s="30">
        <f>SUM(H26:H30)</f>
        <v>30000</v>
      </c>
      <c r="I31" s="15"/>
      <c r="J31" s="33">
        <f>IF(H$12=0,0,H31/H$12)</f>
        <v>0</v>
      </c>
      <c r="K31" s="16"/>
      <c r="L31" s="30">
        <f>+D31-H31</f>
        <v>32199.58</v>
      </c>
      <c r="M31" s="16"/>
      <c r="N31" s="33">
        <f>IF(H31=0,0,L31/H31)</f>
        <v>1.0733193333333333</v>
      </c>
      <c r="O31" s="27"/>
      <c r="P31" s="30">
        <f>SUM(P26:P30)</f>
        <v>818155.76</v>
      </c>
      <c r="Q31" s="15"/>
      <c r="R31" s="33">
        <f>IF(P$12=0,0,P31/P$12)</f>
        <v>0</v>
      </c>
      <c r="S31" s="15"/>
      <c r="T31" s="30">
        <f>SUM(T26:T30)</f>
        <v>345000</v>
      </c>
      <c r="U31" s="15"/>
      <c r="V31" s="33">
        <f>IF(T$12=0,0,T31/T$12)</f>
        <v>0</v>
      </c>
      <c r="W31" s="16"/>
      <c r="X31" s="30">
        <f>+P31-T31</f>
        <v>473155.76</v>
      </c>
      <c r="Y31" s="16"/>
      <c r="Z31" s="33">
        <f>IF(T31=0,0,X31/T31)</f>
        <v>1.3714659710144927</v>
      </c>
    </row>
    <row r="32" spans="1:26" ht="15" customHeight="1" x14ac:dyDescent="0.25">
      <c r="A32" s="10"/>
      <c r="C32" s="10"/>
      <c r="D32" s="18"/>
      <c r="E32" s="18"/>
      <c r="G32" s="18"/>
      <c r="H32" s="18"/>
      <c r="I32" s="18"/>
      <c r="J32" s="40"/>
      <c r="K32" s="18"/>
      <c r="L32" s="18"/>
      <c r="M32" s="18"/>
      <c r="P32" s="18"/>
      <c r="Q32" s="18"/>
      <c r="R32" s="40"/>
      <c r="S32" s="18"/>
      <c r="T32" s="18"/>
      <c r="U32" s="18"/>
      <c r="V32" s="40"/>
      <c r="W32" s="18"/>
      <c r="X32" s="18"/>
    </row>
    <row r="33" spans="1:24" ht="15" customHeight="1" x14ac:dyDescent="0.25">
      <c r="A33" s="10"/>
      <c r="B33" s="54">
        <v>44727.874509606481</v>
      </c>
      <c r="D33" s="18"/>
      <c r="E33" s="18"/>
      <c r="G33" s="18"/>
      <c r="H33" s="18"/>
      <c r="I33" s="18"/>
      <c r="J33" s="40"/>
      <c r="K33" s="18"/>
      <c r="L33" s="18"/>
      <c r="M33" s="18"/>
      <c r="P33" s="18"/>
      <c r="Q33" s="18"/>
      <c r="R33" s="40"/>
      <c r="S33" s="18"/>
      <c r="T33" s="18"/>
      <c r="U33" s="18"/>
      <c r="V33" s="40"/>
      <c r="W33" s="18"/>
      <c r="X33" s="18"/>
    </row>
    <row r="34" spans="1:24" ht="15" customHeight="1" x14ac:dyDescent="0.25">
      <c r="A34" s="10"/>
      <c r="B34" s="50" t="s">
        <v>298</v>
      </c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4" ht="15" customHeight="1" x14ac:dyDescent="0.25">
      <c r="A35" s="10"/>
      <c r="B35" s="58"/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4" ht="15" customHeight="1" x14ac:dyDescent="0.25"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AB4E-2C54-B3C6-CA8B-69E140F7C724}">
  <sheetPr>
    <tabColor rgb="FFFFFF00"/>
    <outlinePr summaryBelow="0" summaryRight="0"/>
  </sheetPr>
  <dimension ref="A2:Z9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308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28464.55</v>
      </c>
      <c r="E12" s="5"/>
      <c r="F12" s="13"/>
      <c r="G12" s="5"/>
      <c r="H12" s="5">
        <f>SUM(OSRRefH13x_0)</f>
        <v>47000</v>
      </c>
      <c r="I12" s="5"/>
      <c r="J12" s="13"/>
      <c r="K12" s="5"/>
      <c r="L12" s="5">
        <f t="shared" ref="L12:L17" si="0">+D12-H12</f>
        <v>-18535.45</v>
      </c>
      <c r="M12" s="5"/>
      <c r="N12" s="13">
        <f t="shared" ref="N12:N17" si="1">IF(H12=0,0,L12/H12)</f>
        <v>-0.39437127659574467</v>
      </c>
      <c r="O12" s="11"/>
      <c r="P12" s="5">
        <f>SUM(OSRRefP13x_0)</f>
        <v>223467</v>
      </c>
      <c r="Q12" s="5"/>
      <c r="R12" s="13"/>
      <c r="S12" s="5"/>
      <c r="T12" s="5">
        <f>SUM(OSRRefT13x_0)</f>
        <v>400330</v>
      </c>
      <c r="U12" s="5"/>
      <c r="V12" s="13"/>
      <c r="W12" s="5"/>
      <c r="X12" s="5">
        <f t="shared" ref="X12:X17" si="2">+P12-T12</f>
        <v>-176863</v>
      </c>
      <c r="Y12" s="5"/>
      <c r="Z12" s="13">
        <f t="shared" ref="Z12:Z17" si="3">IF(T12=0,0,X12/T12)</f>
        <v>-0.44179302075787474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--23368.25</f>
        <v>23368.25</v>
      </c>
      <c r="E13" s="3"/>
      <c r="F13" s="20"/>
      <c r="G13" s="3"/>
      <c r="H13" s="3">
        <v>20000</v>
      </c>
      <c r="I13" s="3"/>
      <c r="J13" s="20"/>
      <c r="K13" s="3"/>
      <c r="L13" s="3">
        <f t="shared" si="0"/>
        <v>3368.25</v>
      </c>
      <c r="M13" s="3"/>
      <c r="N13" s="20">
        <f t="shared" si="1"/>
        <v>0.16841249999999999</v>
      </c>
      <c r="O13" s="12"/>
      <c r="P13" s="3">
        <f>--173278.92</f>
        <v>173278.92</v>
      </c>
      <c r="Q13" s="3"/>
      <c r="R13" s="20"/>
      <c r="S13" s="3"/>
      <c r="T13" s="3">
        <v>196330</v>
      </c>
      <c r="U13" s="3"/>
      <c r="V13" s="20"/>
      <c r="W13" s="3"/>
      <c r="X13" s="3">
        <f t="shared" si="2"/>
        <v>-23051.079999999987</v>
      </c>
      <c r="Y13" s="3"/>
      <c r="Z13" s="20">
        <f t="shared" si="3"/>
        <v>-0.1174098711353333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--5125.23</f>
        <v>5125.2299999999996</v>
      </c>
      <c r="E14" s="3"/>
      <c r="F14" s="20"/>
      <c r="G14" s="3"/>
      <c r="H14" s="3">
        <v>27000</v>
      </c>
      <c r="I14" s="3"/>
      <c r="J14" s="20"/>
      <c r="K14" s="3"/>
      <c r="L14" s="3">
        <f t="shared" si="0"/>
        <v>-21874.77</v>
      </c>
      <c r="M14" s="3"/>
      <c r="N14" s="20">
        <f t="shared" si="1"/>
        <v>-0.81017666666666666</v>
      </c>
      <c r="O14" s="12"/>
      <c r="P14" s="3">
        <f>--51288.03</f>
        <v>51288.03</v>
      </c>
      <c r="Q14" s="3"/>
      <c r="R14" s="20"/>
      <c r="S14" s="3"/>
      <c r="T14" s="3">
        <v>204000</v>
      </c>
      <c r="U14" s="3"/>
      <c r="V14" s="20"/>
      <c r="W14" s="3"/>
      <c r="X14" s="3">
        <f t="shared" si="2"/>
        <v>-152711.97</v>
      </c>
      <c r="Y14" s="3"/>
      <c r="Z14" s="20">
        <f t="shared" si="3"/>
        <v>-0.7485880882352941</v>
      </c>
    </row>
    <row r="15" spans="1:26" s="70" customFormat="1" ht="15" hidden="1" customHeight="1" outlineLevel="1" x14ac:dyDescent="0.25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","4200"," - ","TAXABLE RETURNS")</f>
        <v xml:space="preserve">          4200 - TAXABLE RETURNS</v>
      </c>
      <c r="C17" s="12"/>
      <c r="D17" s="3">
        <f>-28.93</f>
        <v>-28.93</v>
      </c>
      <c r="E17" s="3"/>
      <c r="F17" s="20"/>
      <c r="G17" s="3"/>
      <c r="H17" s="3"/>
      <c r="I17" s="3"/>
      <c r="J17" s="20"/>
      <c r="K17" s="3"/>
      <c r="L17" s="3">
        <f t="shared" si="0"/>
        <v>-28.93</v>
      </c>
      <c r="M17" s="3"/>
      <c r="N17" s="20">
        <f t="shared" si="1"/>
        <v>0</v>
      </c>
      <c r="O17" s="12"/>
      <c r="P17" s="3">
        <f>-1099.95</f>
        <v>-1099.95</v>
      </c>
      <c r="Q17" s="3"/>
      <c r="R17" s="20"/>
      <c r="S17" s="3"/>
      <c r="T17" s="3"/>
      <c r="U17" s="3"/>
      <c r="V17" s="20"/>
      <c r="W17" s="3"/>
      <c r="X17" s="3">
        <f t="shared" si="2"/>
        <v>-1099.95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3.6962952024236242E-5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3.6962952024236242E-5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D12-D19</f>
        <v>28464.55</v>
      </c>
      <c r="E23" s="15"/>
      <c r="F23" s="21">
        <f>IF(D$12=0,0,D23/D$12)</f>
        <v>1</v>
      </c>
      <c r="G23" s="15"/>
      <c r="H23" s="22">
        <f>H12-H19</f>
        <v>47000</v>
      </c>
      <c r="I23" s="15"/>
      <c r="J23" s="21">
        <f>IF(H$12=0,0,H23/H$12)</f>
        <v>1</v>
      </c>
      <c r="K23" s="16"/>
      <c r="L23" s="22">
        <f>+D23-H23</f>
        <v>-18535.45</v>
      </c>
      <c r="M23" s="16"/>
      <c r="N23" s="21">
        <f>IF(H23=0,0,L23/H23)</f>
        <v>-0.39437127659574467</v>
      </c>
      <c r="O23" s="27"/>
      <c r="P23" s="22">
        <f>P12-P19</f>
        <v>223458.74</v>
      </c>
      <c r="Q23" s="15"/>
      <c r="R23" s="21">
        <f>IF(P$12=0,0,P23/P$12)</f>
        <v>0.99996303704797573</v>
      </c>
      <c r="S23" s="15"/>
      <c r="T23" s="22">
        <f>T12-T19</f>
        <v>400330</v>
      </c>
      <c r="U23" s="15"/>
      <c r="V23" s="21">
        <f>IF(T$12=0,0,T23/T$12)</f>
        <v>1</v>
      </c>
      <c r="W23" s="16"/>
      <c r="X23" s="22">
        <f>+P23-T23</f>
        <v>-176871.26</v>
      </c>
      <c r="Y23" s="16"/>
      <c r="Z23" s="21">
        <f>IF(T23=0,0,X23/T23)</f>
        <v>-0.44181365373566811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28955.8</v>
      </c>
      <c r="E25" s="23"/>
      <c r="F25" s="31">
        <f t="shared" ref="F25:F56" si="4">IF(D$12=0,0,D25/D$12)</f>
        <v>1.0172583090194645</v>
      </c>
      <c r="G25" s="23"/>
      <c r="H25" s="23" cm="1">
        <f t="array" ref="H25">SUM(OSRRefH22x_0)</f>
        <v>31036.604975615395</v>
      </c>
      <c r="I25" s="23"/>
      <c r="J25" s="31">
        <f t="shared" ref="J25:J56" si="5">IF(H$12=0,0,H25/H$12)</f>
        <v>0.660353297353519</v>
      </c>
      <c r="K25" s="5"/>
      <c r="L25" s="23">
        <f t="shared" ref="L25:L56" si="6">+D25-H25</f>
        <v>-2080.804975615396</v>
      </c>
      <c r="M25" s="5"/>
      <c r="N25" s="31">
        <f t="shared" ref="N25:N56" si="7">IF(H25=0,0,L25/H25)</f>
        <v>-6.7043575714876902E-2</v>
      </c>
      <c r="O25" s="11"/>
      <c r="P25" s="23" cm="1">
        <f t="array" ref="P25">SUM(OSRRefP22x_0)</f>
        <v>274227.66999999987</v>
      </c>
      <c r="Q25" s="23"/>
      <c r="R25" s="31">
        <f t="shared" ref="R25:R56" si="8">IF(P$12=0,0,P25/P$12)</f>
        <v>1.2271506307418987</v>
      </c>
      <c r="S25" s="23"/>
      <c r="T25" s="23" cm="1">
        <f t="array" ref="T25">SUM(OSRRefT22x_0)</f>
        <v>334289.28117007751</v>
      </c>
      <c r="U25" s="23"/>
      <c r="V25" s="31">
        <f t="shared" ref="V25:V56" si="9">IF(T$12=0,0,T25/T$12)</f>
        <v>0.83503429962800069</v>
      </c>
      <c r="W25" s="5"/>
      <c r="X25" s="23">
        <f t="shared" ref="X25:X56" si="10">+P25-T25</f>
        <v>-60061.611170077638</v>
      </c>
      <c r="Y25" s="5"/>
      <c r="Z25" s="31">
        <f t="shared" ref="Z25:Z56" si="11">IF(T25=0,0,X25/T25)</f>
        <v>-0.17966956930192413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4624.3500000000004</v>
      </c>
      <c r="E26" s="2"/>
      <c r="F26" s="6">
        <f t="shared" si="4"/>
        <v>0.16245997214078567</v>
      </c>
      <c r="G26" s="2"/>
      <c r="H26" s="2">
        <f>SUM(OSRRefH22_0x_0)</f>
        <v>4438.2928217692333</v>
      </c>
      <c r="I26" s="2"/>
      <c r="J26" s="6">
        <f t="shared" si="5"/>
        <v>9.4431762165302843E-2</v>
      </c>
      <c r="K26" s="2"/>
      <c r="L26" s="2">
        <f t="shared" si="6"/>
        <v>186.05717823076702</v>
      </c>
      <c r="M26" s="2"/>
      <c r="N26" s="6">
        <f t="shared" si="7"/>
        <v>4.1920888436693816E-2</v>
      </c>
      <c r="O26" s="14"/>
      <c r="P26" s="2">
        <f>SUM(OSRRefP22_0x_0)</f>
        <v>77486.00999999998</v>
      </c>
      <c r="Q26" s="2"/>
      <c r="R26" s="6">
        <f t="shared" si="8"/>
        <v>0.34674475425901802</v>
      </c>
      <c r="S26" s="2"/>
      <c r="T26" s="2">
        <f>SUM(OSRRefT22_0x_0)</f>
        <v>63357.608785461533</v>
      </c>
      <c r="U26" s="2"/>
      <c r="V26" s="6">
        <f t="shared" si="9"/>
        <v>0.15826345461359762</v>
      </c>
      <c r="W26" s="2"/>
      <c r="X26" s="2">
        <f t="shared" si="10"/>
        <v>14128.401214538448</v>
      </c>
      <c r="Y26" s="2"/>
      <c r="Z26" s="6">
        <f t="shared" si="11"/>
        <v>0.22299454612277675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734.98</v>
      </c>
      <c r="E27" s="3"/>
      <c r="F27" s="7">
        <f t="shared" si="4"/>
        <v>2.582088949236858E-2</v>
      </c>
      <c r="G27" s="3"/>
      <c r="H27" s="8">
        <v>849.25988561538497</v>
      </c>
      <c r="I27" s="3"/>
      <c r="J27" s="7">
        <f t="shared" si="5"/>
        <v>1.8069359268412445E-2</v>
      </c>
      <c r="K27" s="3"/>
      <c r="L27" s="8">
        <f t="shared" si="6"/>
        <v>-114.27988561538496</v>
      </c>
      <c r="M27" s="3"/>
      <c r="N27" s="7">
        <f t="shared" si="7"/>
        <v>-0.13456409227733185</v>
      </c>
      <c r="O27" s="12"/>
      <c r="P27" s="8">
        <v>12927.72</v>
      </c>
      <c r="Q27" s="3"/>
      <c r="R27" s="7">
        <f t="shared" si="8"/>
        <v>5.7850689363530182E-2</v>
      </c>
      <c r="S27" s="3"/>
      <c r="T27" s="8">
        <v>11166.1726400769</v>
      </c>
      <c r="U27" s="3"/>
      <c r="V27" s="7">
        <f t="shared" si="9"/>
        <v>2.7892420353400695E-2</v>
      </c>
      <c r="W27" s="3"/>
      <c r="X27" s="8">
        <f t="shared" si="10"/>
        <v>1761.5473599230991</v>
      </c>
      <c r="Y27" s="3"/>
      <c r="Z27" s="7">
        <f t="shared" si="11"/>
        <v>0.15775748922246355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265.11</v>
      </c>
      <c r="E28" s="3"/>
      <c r="F28" s="7">
        <f t="shared" si="4"/>
        <v>9.3136901865653945E-3</v>
      </c>
      <c r="G28" s="3"/>
      <c r="H28" s="8">
        <v>173.11452</v>
      </c>
      <c r="I28" s="3"/>
      <c r="J28" s="7">
        <f t="shared" si="5"/>
        <v>3.6832876595744679E-3</v>
      </c>
      <c r="K28" s="3"/>
      <c r="L28" s="8">
        <f t="shared" si="6"/>
        <v>91.995480000000015</v>
      </c>
      <c r="M28" s="3"/>
      <c r="N28" s="7">
        <f t="shared" si="7"/>
        <v>0.53141400270757189</v>
      </c>
      <c r="O28" s="12"/>
      <c r="P28" s="8">
        <v>2980.89</v>
      </c>
      <c r="Q28" s="3"/>
      <c r="R28" s="7">
        <f t="shared" si="8"/>
        <v>1.3339284995099947E-2</v>
      </c>
      <c r="S28" s="3"/>
      <c r="T28" s="8">
        <v>2282.6828399999999</v>
      </c>
      <c r="U28" s="3"/>
      <c r="V28" s="7">
        <f t="shared" si="9"/>
        <v>5.7020029475682559E-3</v>
      </c>
      <c r="W28" s="3"/>
      <c r="X28" s="8">
        <f t="shared" si="10"/>
        <v>698.20715999999993</v>
      </c>
      <c r="Y28" s="3"/>
      <c r="Z28" s="7">
        <f t="shared" si="11"/>
        <v>0.30587129660115198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1287</v>
      </c>
      <c r="E29" s="3"/>
      <c r="F29" s="7">
        <f t="shared" si="4"/>
        <v>4.5214134774658306E-2</v>
      </c>
      <c r="G29" s="3"/>
      <c r="H29" s="8">
        <v>1326</v>
      </c>
      <c r="I29" s="3"/>
      <c r="J29" s="7">
        <f t="shared" si="5"/>
        <v>2.821276595744681E-2</v>
      </c>
      <c r="K29" s="3"/>
      <c r="L29" s="8">
        <f t="shared" si="6"/>
        <v>-39</v>
      </c>
      <c r="M29" s="3"/>
      <c r="N29" s="7">
        <f t="shared" si="7"/>
        <v>-2.9411764705882353E-2</v>
      </c>
      <c r="O29" s="12"/>
      <c r="P29" s="8">
        <v>24321.02</v>
      </c>
      <c r="Q29" s="3"/>
      <c r="R29" s="7">
        <f t="shared" si="8"/>
        <v>0.1088349510218511</v>
      </c>
      <c r="S29" s="3"/>
      <c r="T29" s="8">
        <v>19528.5</v>
      </c>
      <c r="U29" s="3"/>
      <c r="V29" s="7">
        <f t="shared" si="9"/>
        <v>4.8781005670321988E-2</v>
      </c>
      <c r="W29" s="3"/>
      <c r="X29" s="8">
        <f t="shared" si="10"/>
        <v>4792.5200000000004</v>
      </c>
      <c r="Y29" s="3"/>
      <c r="Z29" s="7">
        <f t="shared" si="11"/>
        <v>0.2454115779501754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46.57</v>
      </c>
      <c r="E30" s="3"/>
      <c r="F30" s="7">
        <f t="shared" si="4"/>
        <v>1.6360701293363148E-3</v>
      </c>
      <c r="G30" s="3"/>
      <c r="H30" s="8">
        <v>23.303877692307701</v>
      </c>
      <c r="I30" s="3"/>
      <c r="J30" s="7">
        <f t="shared" si="5"/>
        <v>4.9582718494271707E-4</v>
      </c>
      <c r="K30" s="3"/>
      <c r="L30" s="8">
        <f t="shared" si="6"/>
        <v>23.266122307692299</v>
      </c>
      <c r="M30" s="3"/>
      <c r="N30" s="7">
        <f t="shared" si="7"/>
        <v>0.9983798668567565</v>
      </c>
      <c r="O30" s="12"/>
      <c r="P30" s="8">
        <v>523.66999999999996</v>
      </c>
      <c r="Q30" s="3"/>
      <c r="R30" s="7">
        <f t="shared" si="8"/>
        <v>2.34338850926535E-3</v>
      </c>
      <c r="S30" s="3"/>
      <c r="T30" s="8">
        <v>307.28422846153802</v>
      </c>
      <c r="U30" s="3"/>
      <c r="V30" s="7">
        <f t="shared" si="9"/>
        <v>7.6757731986495643E-4</v>
      </c>
      <c r="W30" s="3"/>
      <c r="X30" s="8">
        <f t="shared" si="10"/>
        <v>216.38577153846194</v>
      </c>
      <c r="Y30" s="3"/>
      <c r="Z30" s="7">
        <f t="shared" si="11"/>
        <v>0.70418769170753714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793.49</v>
      </c>
      <c r="E31" s="3"/>
      <c r="F31" s="7">
        <f t="shared" si="4"/>
        <v>2.7876428750849742E-2</v>
      </c>
      <c r="G31" s="3"/>
      <c r="H31" s="8">
        <v>762.81007692307799</v>
      </c>
      <c r="I31" s="3"/>
      <c r="J31" s="7">
        <f t="shared" si="5"/>
        <v>1.6230001636661235E-2</v>
      </c>
      <c r="K31" s="3"/>
      <c r="L31" s="8">
        <f t="shared" si="6"/>
        <v>30.679923076922023</v>
      </c>
      <c r="M31" s="3"/>
      <c r="N31" s="7">
        <f t="shared" si="7"/>
        <v>4.0219609054818237E-2</v>
      </c>
      <c r="O31" s="12"/>
      <c r="P31" s="8">
        <v>16019.36</v>
      </c>
      <c r="Q31" s="3"/>
      <c r="R31" s="7">
        <f t="shared" si="8"/>
        <v>7.1685573261376409E-2</v>
      </c>
      <c r="S31" s="3"/>
      <c r="T31" s="8">
        <v>10971.3143846154</v>
      </c>
      <c r="U31" s="3"/>
      <c r="V31" s="7">
        <f t="shared" si="9"/>
        <v>2.7405676278608647E-2</v>
      </c>
      <c r="W31" s="3"/>
      <c r="X31" s="8">
        <f t="shared" si="10"/>
        <v>5048.0456153846008</v>
      </c>
      <c r="Y31" s="3"/>
      <c r="Z31" s="7">
        <f t="shared" si="11"/>
        <v>0.4601131130161813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4"/>
        <v>0</v>
      </c>
      <c r="G32" s="3"/>
      <c r="H32" s="8">
        <v>0</v>
      </c>
      <c r="I32" s="3"/>
      <c r="J32" s="7">
        <f t="shared" si="5"/>
        <v>0</v>
      </c>
      <c r="K32" s="3"/>
      <c r="L32" s="8">
        <f t="shared" si="6"/>
        <v>0</v>
      </c>
      <c r="M32" s="3"/>
      <c r="N32" s="7">
        <f t="shared" si="7"/>
        <v>0</v>
      </c>
      <c r="O32" s="12"/>
      <c r="P32" s="8"/>
      <c r="Q32" s="3"/>
      <c r="R32" s="7">
        <f t="shared" si="8"/>
        <v>0</v>
      </c>
      <c r="S32" s="3"/>
      <c r="T32" s="8">
        <v>0</v>
      </c>
      <c r="U32" s="3"/>
      <c r="V32" s="7">
        <f t="shared" si="9"/>
        <v>0</v>
      </c>
      <c r="W32" s="3"/>
      <c r="X32" s="8">
        <f t="shared" si="10"/>
        <v>0</v>
      </c>
      <c r="Y32" s="3"/>
      <c r="Z32" s="7">
        <f t="shared" si="11"/>
        <v>0</v>
      </c>
    </row>
    <row r="33" spans="1:26" s="70" customFormat="1" ht="15" hidden="1" customHeight="1" outlineLevel="2" x14ac:dyDescent="0.25">
      <c r="A33" s="25"/>
      <c r="B33" s="12" t="str">
        <f>CONCATENATE("          ","6118"," - ","VACATION")</f>
        <v xml:space="preserve">          6118 - VACATION</v>
      </c>
      <c r="C33" s="12"/>
      <c r="D33" s="8">
        <v>656.44</v>
      </c>
      <c r="E33" s="3"/>
      <c r="F33" s="7">
        <f t="shared" si="4"/>
        <v>2.306166793432533E-2</v>
      </c>
      <c r="G33" s="3"/>
      <c r="H33" s="8">
        <v>620.89192307692304</v>
      </c>
      <c r="I33" s="3"/>
      <c r="J33" s="7">
        <f t="shared" si="5"/>
        <v>1.321046644844517E-2</v>
      </c>
      <c r="K33" s="3"/>
      <c r="L33" s="8">
        <f t="shared" si="6"/>
        <v>35.548076923077019</v>
      </c>
      <c r="M33" s="3"/>
      <c r="N33" s="7">
        <f t="shared" si="7"/>
        <v>5.7253244247264794E-2</v>
      </c>
      <c r="O33" s="12"/>
      <c r="P33" s="8">
        <v>9158.33</v>
      </c>
      <c r="Q33" s="3"/>
      <c r="R33" s="7">
        <f t="shared" si="8"/>
        <v>4.0982919178223186E-2</v>
      </c>
      <c r="S33" s="3"/>
      <c r="T33" s="8">
        <v>9564.1838461538391</v>
      </c>
      <c r="U33" s="3"/>
      <c r="V33" s="7">
        <f t="shared" si="9"/>
        <v>2.3890749746843451E-2</v>
      </c>
      <c r="W33" s="3"/>
      <c r="X33" s="8">
        <f t="shared" si="10"/>
        <v>-405.85384615383919</v>
      </c>
      <c r="Y33" s="3"/>
      <c r="Z33" s="7">
        <f t="shared" si="11"/>
        <v>-4.2434760004853952E-2</v>
      </c>
    </row>
    <row r="34" spans="1:26" s="70" customFormat="1" ht="15" hidden="1" customHeight="1" outlineLevel="2" x14ac:dyDescent="0.25">
      <c r="A34" s="25"/>
      <c r="B34" s="12" t="str">
        <f>CONCATENATE("          ","6119"," - ","SICK LEAVE")</f>
        <v xml:space="preserve">          6119 - SICK LEAVE</v>
      </c>
      <c r="C34" s="12"/>
      <c r="D34" s="8">
        <v>411.06</v>
      </c>
      <c r="E34" s="3"/>
      <c r="F34" s="7">
        <f t="shared" si="4"/>
        <v>1.4441120621966622E-2</v>
      </c>
      <c r="G34" s="3"/>
      <c r="H34" s="8">
        <v>332.91253846153899</v>
      </c>
      <c r="I34" s="3"/>
      <c r="J34" s="7">
        <f t="shared" si="5"/>
        <v>7.0832454991816805E-3</v>
      </c>
      <c r="K34" s="3"/>
      <c r="L34" s="8">
        <f t="shared" si="6"/>
        <v>78.147461538461016</v>
      </c>
      <c r="M34" s="3"/>
      <c r="N34" s="7">
        <f t="shared" si="7"/>
        <v>0.23473871515803332</v>
      </c>
      <c r="O34" s="12"/>
      <c r="P34" s="8">
        <v>6814.43</v>
      </c>
      <c r="Q34" s="3"/>
      <c r="R34" s="7">
        <f t="shared" si="8"/>
        <v>3.0494122174638764E-2</v>
      </c>
      <c r="S34" s="3"/>
      <c r="T34" s="8">
        <v>4812.4708461538503</v>
      </c>
      <c r="U34" s="3"/>
      <c r="V34" s="7">
        <f t="shared" si="9"/>
        <v>1.2021259576234232E-2</v>
      </c>
      <c r="W34" s="3"/>
      <c r="X34" s="8">
        <f t="shared" si="10"/>
        <v>2001.95915384615</v>
      </c>
      <c r="Y34" s="3"/>
      <c r="Z34" s="7">
        <f t="shared" si="11"/>
        <v>0.41599403255525702</v>
      </c>
    </row>
    <row r="35" spans="1:26" s="70" customFormat="1" ht="15" hidden="1" customHeight="1" outlineLevel="2" x14ac:dyDescent="0.25">
      <c r="A35" s="25"/>
      <c r="B35" s="12" t="str">
        <f>CONCATENATE("          ","6156"," - ","EMPLOYEE MEALS")</f>
        <v xml:space="preserve">          6156 - EMPLOYEE MEALS</v>
      </c>
      <c r="C35" s="12"/>
      <c r="D35" s="8">
        <v>429.7</v>
      </c>
      <c r="E35" s="3"/>
      <c r="F35" s="7">
        <f t="shared" si="4"/>
        <v>1.5095970250715364E-2</v>
      </c>
      <c r="G35" s="3"/>
      <c r="H35" s="8">
        <v>350</v>
      </c>
      <c r="I35" s="3"/>
      <c r="J35" s="7">
        <f t="shared" si="5"/>
        <v>7.4468085106382982E-3</v>
      </c>
      <c r="K35" s="3"/>
      <c r="L35" s="8">
        <f t="shared" si="6"/>
        <v>79.699999999999989</v>
      </c>
      <c r="M35" s="3"/>
      <c r="N35" s="7">
        <f t="shared" si="7"/>
        <v>0.22771428571428567</v>
      </c>
      <c r="O35" s="12"/>
      <c r="P35" s="8">
        <v>4740.59</v>
      </c>
      <c r="Q35" s="3"/>
      <c r="R35" s="7">
        <f t="shared" si="8"/>
        <v>2.1213825755033184E-2</v>
      </c>
      <c r="S35" s="3"/>
      <c r="T35" s="8">
        <v>4725</v>
      </c>
      <c r="U35" s="3"/>
      <c r="V35" s="7">
        <f t="shared" si="9"/>
        <v>1.1802762720755377E-2</v>
      </c>
      <c r="W35" s="3"/>
      <c r="X35" s="8">
        <f t="shared" si="10"/>
        <v>15.590000000000146</v>
      </c>
      <c r="Y35" s="3"/>
      <c r="Z35" s="7">
        <f t="shared" si="11"/>
        <v>3.2994708994709301E-3</v>
      </c>
    </row>
    <row r="36" spans="1:26" s="69" customFormat="1" ht="15" customHeight="1" outlineLevel="1" collapsed="1" x14ac:dyDescent="0.25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10514.23</v>
      </c>
      <c r="E36" s="2"/>
      <c r="F36" s="6">
        <f t="shared" si="4"/>
        <v>0.36937980751496158</v>
      </c>
      <c r="G36" s="2"/>
      <c r="H36" s="2">
        <f>SUM(OSRRefH22_1x_0)</f>
        <v>10303.312153846158</v>
      </c>
      <c r="I36" s="2"/>
      <c r="J36" s="6">
        <f t="shared" si="5"/>
        <v>0.21921940752864166</v>
      </c>
      <c r="K36" s="2"/>
      <c r="L36" s="2">
        <f t="shared" si="6"/>
        <v>210.91784615384131</v>
      </c>
      <c r="M36" s="2"/>
      <c r="N36" s="6">
        <f t="shared" si="7"/>
        <v>2.0470878005487494E-2</v>
      </c>
      <c r="O36" s="14"/>
      <c r="P36" s="2">
        <f>SUM(OSRRefP22_1x_0)</f>
        <v>152170.49</v>
      </c>
      <c r="Q36" s="2"/>
      <c r="R36" s="6">
        <f t="shared" si="8"/>
        <v>0.68095284762403396</v>
      </c>
      <c r="S36" s="2"/>
      <c r="T36" s="2">
        <f>SUM(OSRRefT22_1x_0)</f>
        <v>133236.67238461602</v>
      </c>
      <c r="U36" s="2"/>
      <c r="V36" s="6">
        <f t="shared" si="9"/>
        <v>0.33281710684839011</v>
      </c>
      <c r="W36" s="2"/>
      <c r="X36" s="2">
        <f t="shared" si="10"/>
        <v>18933.817615383974</v>
      </c>
      <c r="Y36" s="2"/>
      <c r="Z36" s="6">
        <f t="shared" si="11"/>
        <v>0.142106653344865</v>
      </c>
    </row>
    <row r="37" spans="1:26" s="70" customFormat="1" ht="15" hidden="1" customHeight="1" outlineLevel="2" x14ac:dyDescent="0.25">
      <c r="A37" s="25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4"/>
        <v>0</v>
      </c>
      <c r="G37" s="3"/>
      <c r="H37" s="8">
        <v>0</v>
      </c>
      <c r="I37" s="3"/>
      <c r="J37" s="7">
        <f t="shared" si="5"/>
        <v>0</v>
      </c>
      <c r="K37" s="3"/>
      <c r="L37" s="8">
        <f t="shared" si="6"/>
        <v>0</v>
      </c>
      <c r="M37" s="3"/>
      <c r="N37" s="7">
        <f t="shared" si="7"/>
        <v>0</v>
      </c>
      <c r="O37" s="12"/>
      <c r="P37" s="8"/>
      <c r="Q37" s="3"/>
      <c r="R37" s="7">
        <f t="shared" si="8"/>
        <v>0</v>
      </c>
      <c r="S37" s="3"/>
      <c r="T37" s="8">
        <v>0</v>
      </c>
      <c r="U37" s="3"/>
      <c r="V37" s="7">
        <f t="shared" si="9"/>
        <v>0</v>
      </c>
      <c r="W37" s="3"/>
      <c r="X37" s="8">
        <f t="shared" si="10"/>
        <v>0</v>
      </c>
      <c r="Y37" s="3"/>
      <c r="Z37" s="7">
        <f t="shared" si="11"/>
        <v>0</v>
      </c>
    </row>
    <row r="38" spans="1:26" s="70" customFormat="1" ht="15" hidden="1" customHeight="1" outlineLevel="2" x14ac:dyDescent="0.25">
      <c r="A38" s="25"/>
      <c r="B38" s="12" t="str">
        <f>CONCATENATE("          ","6002"," - ","STAFF SALARIES")</f>
        <v xml:space="preserve">          6002 - STAFF SALARIES</v>
      </c>
      <c r="C38" s="12"/>
      <c r="D38" s="8">
        <v>7765.33</v>
      </c>
      <c r="E38" s="3"/>
      <c r="F38" s="7">
        <f t="shared" si="4"/>
        <v>0.27280705298344782</v>
      </c>
      <c r="G38" s="3"/>
      <c r="H38" s="8">
        <v>7982.8961538461599</v>
      </c>
      <c r="I38" s="3"/>
      <c r="J38" s="7">
        <f t="shared" si="5"/>
        <v>0.16984885433715233</v>
      </c>
      <c r="K38" s="3"/>
      <c r="L38" s="8">
        <f t="shared" si="6"/>
        <v>-217.56615384615998</v>
      </c>
      <c r="M38" s="3"/>
      <c r="N38" s="7">
        <f t="shared" si="7"/>
        <v>-2.7254037839554834E-2</v>
      </c>
      <c r="O38" s="12"/>
      <c r="P38" s="8">
        <v>121429.14</v>
      </c>
      <c r="Q38" s="3"/>
      <c r="R38" s="7">
        <f t="shared" si="8"/>
        <v>0.54338734578259873</v>
      </c>
      <c r="S38" s="3"/>
      <c r="T38" s="8">
        <v>113759.34038461601</v>
      </c>
      <c r="U38" s="3"/>
      <c r="V38" s="7">
        <f t="shared" si="9"/>
        <v>0.28416391573106187</v>
      </c>
      <c r="W38" s="3"/>
      <c r="X38" s="8">
        <f t="shared" si="10"/>
        <v>7669.7996153839922</v>
      </c>
      <c r="Y38" s="3"/>
      <c r="Z38" s="7">
        <f t="shared" si="11"/>
        <v>6.7421273624237721E-2</v>
      </c>
    </row>
    <row r="39" spans="1:26" s="70" customFormat="1" ht="15" hidden="1" customHeight="1" outlineLevel="2" x14ac:dyDescent="0.25">
      <c r="A39" s="25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4"/>
        <v>0</v>
      </c>
      <c r="G39" s="3"/>
      <c r="H39" s="8">
        <v>0</v>
      </c>
      <c r="I39" s="3"/>
      <c r="J39" s="7">
        <f t="shared" si="5"/>
        <v>0</v>
      </c>
      <c r="K39" s="3"/>
      <c r="L39" s="8">
        <f t="shared" si="6"/>
        <v>0</v>
      </c>
      <c r="M39" s="3"/>
      <c r="N39" s="7">
        <f t="shared" si="7"/>
        <v>0</v>
      </c>
      <c r="O39" s="12"/>
      <c r="P39" s="8"/>
      <c r="Q39" s="3"/>
      <c r="R39" s="7">
        <f t="shared" si="8"/>
        <v>0</v>
      </c>
      <c r="S39" s="3"/>
      <c r="T39" s="8">
        <v>0</v>
      </c>
      <c r="U39" s="3"/>
      <c r="V39" s="7">
        <f t="shared" si="9"/>
        <v>0</v>
      </c>
      <c r="W39" s="3"/>
      <c r="X39" s="8">
        <f t="shared" si="10"/>
        <v>0</v>
      </c>
      <c r="Y39" s="3"/>
      <c r="Z39" s="7">
        <f t="shared" si="11"/>
        <v>0</v>
      </c>
    </row>
    <row r="40" spans="1:26" s="70" customFormat="1" ht="15" hidden="1" customHeight="1" outlineLevel="2" x14ac:dyDescent="0.25">
      <c r="A40" s="25"/>
      <c r="B40" s="12" t="str">
        <f>CONCATENATE("          ","6004"," - ","STAFF HOURLY")</f>
        <v xml:space="preserve">          6004 - STAFF HOURLY</v>
      </c>
      <c r="C40" s="12"/>
      <c r="D40" s="8"/>
      <c r="E40" s="3"/>
      <c r="F40" s="7">
        <f t="shared" si="4"/>
        <v>0</v>
      </c>
      <c r="G40" s="3"/>
      <c r="H40" s="8">
        <v>1386</v>
      </c>
      <c r="I40" s="3"/>
      <c r="J40" s="7">
        <f t="shared" si="5"/>
        <v>2.948936170212766E-2</v>
      </c>
      <c r="K40" s="3"/>
      <c r="L40" s="8">
        <f t="shared" si="6"/>
        <v>-1386</v>
      </c>
      <c r="M40" s="3"/>
      <c r="N40" s="7">
        <f t="shared" si="7"/>
        <v>-1</v>
      </c>
      <c r="O40" s="12"/>
      <c r="P40" s="8"/>
      <c r="Q40" s="3"/>
      <c r="R40" s="7">
        <f t="shared" si="8"/>
        <v>0</v>
      </c>
      <c r="S40" s="3"/>
      <c r="T40" s="8">
        <v>8523.9</v>
      </c>
      <c r="U40" s="3"/>
      <c r="V40" s="7">
        <f t="shared" si="9"/>
        <v>2.1292183948242699E-2</v>
      </c>
      <c r="W40" s="3"/>
      <c r="X40" s="8">
        <f t="shared" si="10"/>
        <v>-8523.9</v>
      </c>
      <c r="Y40" s="3"/>
      <c r="Z40" s="7">
        <f t="shared" si="11"/>
        <v>-1</v>
      </c>
    </row>
    <row r="41" spans="1:26" s="70" customFormat="1" ht="15" hidden="1" customHeight="1" outlineLevel="2" x14ac:dyDescent="0.25">
      <c r="A41" s="25"/>
      <c r="B41" s="12" t="str">
        <f>CONCATENATE("          ","6005"," - ","TEMPORARY WAGES-HOURLY")</f>
        <v xml:space="preserve">          6005 - TEMPORARY WAGES-HOURLY</v>
      </c>
      <c r="C41" s="12"/>
      <c r="D41" s="8"/>
      <c r="E41" s="3"/>
      <c r="F41" s="7">
        <f t="shared" si="4"/>
        <v>0</v>
      </c>
      <c r="G41" s="3"/>
      <c r="H41" s="8">
        <v>0</v>
      </c>
      <c r="I41" s="3"/>
      <c r="J41" s="7">
        <f t="shared" si="5"/>
        <v>0</v>
      </c>
      <c r="K41" s="3"/>
      <c r="L41" s="8">
        <f t="shared" si="6"/>
        <v>0</v>
      </c>
      <c r="M41" s="3"/>
      <c r="N41" s="7">
        <f t="shared" si="7"/>
        <v>0</v>
      </c>
      <c r="O41" s="12"/>
      <c r="P41" s="8"/>
      <c r="Q41" s="3"/>
      <c r="R41" s="7">
        <f t="shared" si="8"/>
        <v>0</v>
      </c>
      <c r="S41" s="3"/>
      <c r="T41" s="8">
        <v>0</v>
      </c>
      <c r="U41" s="3"/>
      <c r="V41" s="7">
        <f t="shared" si="9"/>
        <v>0</v>
      </c>
      <c r="W41" s="3"/>
      <c r="X41" s="8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25">
      <c r="A42" s="25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25">
      <c r="A43" s="25"/>
      <c r="B43" s="12" t="str">
        <f>CONCATENATE("          ","6007"," - ","STUDENT HOURLY")</f>
        <v xml:space="preserve">          6007 - STUDENT HOURLY</v>
      </c>
      <c r="C43" s="12"/>
      <c r="D43" s="8">
        <v>2482.65</v>
      </c>
      <c r="E43" s="3"/>
      <c r="F43" s="7">
        <f t="shared" si="4"/>
        <v>8.7219014528597857E-2</v>
      </c>
      <c r="G43" s="3"/>
      <c r="H43" s="8">
        <v>934.41600000000005</v>
      </c>
      <c r="I43" s="3"/>
      <c r="J43" s="7">
        <f t="shared" si="5"/>
        <v>1.9881191489361703E-2</v>
      </c>
      <c r="K43" s="3"/>
      <c r="L43" s="8">
        <f t="shared" si="6"/>
        <v>1548.2339999999999</v>
      </c>
      <c r="M43" s="3"/>
      <c r="N43" s="7">
        <f t="shared" si="7"/>
        <v>1.656900138696255</v>
      </c>
      <c r="O43" s="12"/>
      <c r="P43" s="8">
        <v>29722.85</v>
      </c>
      <c r="Q43" s="3"/>
      <c r="R43" s="7">
        <f t="shared" si="8"/>
        <v>0.13300778190963319</v>
      </c>
      <c r="S43" s="3"/>
      <c r="T43" s="8">
        <v>10520.832</v>
      </c>
      <c r="U43" s="3"/>
      <c r="V43" s="7">
        <f t="shared" si="9"/>
        <v>2.6280398671096345E-2</v>
      </c>
      <c r="W43" s="3"/>
      <c r="X43" s="8">
        <f t="shared" si="10"/>
        <v>19202.017999999996</v>
      </c>
      <c r="Y43" s="3"/>
      <c r="Z43" s="7">
        <f t="shared" si="11"/>
        <v>1.8251425362556875</v>
      </c>
    </row>
    <row r="44" spans="1:26" s="70" customFormat="1" ht="15" hidden="1" customHeight="1" outlineLevel="2" x14ac:dyDescent="0.25">
      <c r="A44" s="25"/>
      <c r="B44" s="12" t="str">
        <f>CONCATENATE("          ","6008"," - ","STUDENT HOURLY-FICA EXEMPT")</f>
        <v xml:space="preserve">          6008 - STUDENT HOURLY-FICA EXEMPT</v>
      </c>
      <c r="C44" s="12"/>
      <c r="D44" s="8">
        <v>266.25</v>
      </c>
      <c r="E44" s="3"/>
      <c r="F44" s="7">
        <f t="shared" si="4"/>
        <v>9.3537400029159081E-3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266.25</v>
      </c>
      <c r="M44" s="3"/>
      <c r="N44" s="7">
        <f t="shared" si="7"/>
        <v>0</v>
      </c>
      <c r="O44" s="12"/>
      <c r="P44" s="8">
        <v>1018.5</v>
      </c>
      <c r="Q44" s="3"/>
      <c r="R44" s="7">
        <f t="shared" si="8"/>
        <v>4.5577199318020114E-3</v>
      </c>
      <c r="S44" s="3"/>
      <c r="T44" s="8">
        <v>432.6</v>
      </c>
      <c r="U44" s="3"/>
      <c r="V44" s="7">
        <f t="shared" si="9"/>
        <v>1.0806084979891591E-3</v>
      </c>
      <c r="W44" s="3"/>
      <c r="X44" s="8">
        <f t="shared" si="10"/>
        <v>585.9</v>
      </c>
      <c r="Y44" s="3"/>
      <c r="Z44" s="7">
        <f t="shared" si="11"/>
        <v>1.3543689320388348</v>
      </c>
    </row>
    <row r="45" spans="1:26" s="70" customFormat="1" ht="15" hidden="1" customHeight="1" outlineLevel="2" x14ac:dyDescent="0.25">
      <c r="A45" s="25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4"/>
        <v>0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0</v>
      </c>
      <c r="M45" s="3"/>
      <c r="N45" s="7">
        <f t="shared" si="7"/>
        <v>0</v>
      </c>
      <c r="O45" s="12"/>
      <c r="P45" s="8"/>
      <c r="Q45" s="3"/>
      <c r="R45" s="7">
        <f t="shared" si="8"/>
        <v>0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0</v>
      </c>
      <c r="Y45" s="3"/>
      <c r="Z45" s="7">
        <f t="shared" si="11"/>
        <v>0</v>
      </c>
    </row>
    <row r="46" spans="1:26" s="70" customFormat="1" ht="15" hidden="1" customHeight="1" outlineLevel="2" x14ac:dyDescent="0.25">
      <c r="A46" s="25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4"/>
        <v>0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0</v>
      </c>
      <c r="Y46" s="3"/>
      <c r="Z46" s="7">
        <f t="shared" si="11"/>
        <v>0</v>
      </c>
    </row>
    <row r="47" spans="1:26" s="69" customFormat="1" ht="15" customHeight="1" outlineLevel="1" collapsed="1" x14ac:dyDescent="0.25">
      <c r="A47" s="26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50</v>
      </c>
      <c r="I47" s="2"/>
      <c r="J47" s="6">
        <f t="shared" si="5"/>
        <v>1.0638297872340426E-3</v>
      </c>
      <c r="K47" s="2"/>
      <c r="L47" s="2">
        <f t="shared" si="6"/>
        <v>-50</v>
      </c>
      <c r="M47" s="2"/>
      <c r="N47" s="6">
        <f t="shared" si="7"/>
        <v>-1</v>
      </c>
      <c r="O47" s="14"/>
      <c r="P47" s="2">
        <f>SUM(OSRRefP22_2x_0)</f>
        <v>151.85</v>
      </c>
      <c r="Q47" s="2"/>
      <c r="R47" s="6">
        <f t="shared" si="8"/>
        <v>6.7951867613562627E-4</v>
      </c>
      <c r="S47" s="2"/>
      <c r="T47" s="2">
        <f>SUM(OSRRefT22_2x_0)</f>
        <v>550</v>
      </c>
      <c r="U47" s="2"/>
      <c r="V47" s="6">
        <f t="shared" si="9"/>
        <v>1.3738665600879275E-3</v>
      </c>
      <c r="W47" s="2"/>
      <c r="X47" s="2">
        <f t="shared" si="10"/>
        <v>-398.15</v>
      </c>
      <c r="Y47" s="2"/>
      <c r="Z47" s="6">
        <f t="shared" si="11"/>
        <v>-0.72390909090909084</v>
      </c>
    </row>
    <row r="48" spans="1:26" s="70" customFormat="1" ht="15" hidden="1" customHeight="1" outlineLevel="2" x14ac:dyDescent="0.25">
      <c r="A48" s="25"/>
      <c r="B48" s="12" t="str">
        <f>CONCATENATE("          ","6362"," - ","ADVERTISING EXPENSE")</f>
        <v xml:space="preserve">          6362 - ADVERTISING EXPENSE</v>
      </c>
      <c r="C48" s="12"/>
      <c r="D48" s="8"/>
      <c r="E48" s="3"/>
      <c r="F48" s="7">
        <f t="shared" si="4"/>
        <v>0</v>
      </c>
      <c r="G48" s="3"/>
      <c r="H48" s="8">
        <v>50</v>
      </c>
      <c r="I48" s="3"/>
      <c r="J48" s="7">
        <f t="shared" si="5"/>
        <v>1.0638297872340426E-3</v>
      </c>
      <c r="K48" s="3"/>
      <c r="L48" s="8">
        <f t="shared" si="6"/>
        <v>-50</v>
      </c>
      <c r="M48" s="3"/>
      <c r="N48" s="7">
        <f t="shared" si="7"/>
        <v>-1</v>
      </c>
      <c r="O48" s="12"/>
      <c r="P48" s="8">
        <v>151.85</v>
      </c>
      <c r="Q48" s="3"/>
      <c r="R48" s="7">
        <f t="shared" si="8"/>
        <v>6.7951867613562627E-4</v>
      </c>
      <c r="S48" s="3"/>
      <c r="T48" s="8">
        <v>550</v>
      </c>
      <c r="U48" s="3"/>
      <c r="V48" s="7">
        <f t="shared" si="9"/>
        <v>1.3738665600879275E-3</v>
      </c>
      <c r="W48" s="3"/>
      <c r="X48" s="8">
        <f t="shared" si="10"/>
        <v>-398.15</v>
      </c>
      <c r="Y48" s="3"/>
      <c r="Z48" s="7">
        <f t="shared" si="11"/>
        <v>-0.72390909090909084</v>
      </c>
    </row>
    <row r="49" spans="1:26" s="69" customFormat="1" ht="15" customHeight="1" outlineLevel="1" collapsed="1" x14ac:dyDescent="0.25">
      <c r="A49" s="26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5.9681252645834909E-3</v>
      </c>
      <c r="G49" s="2"/>
      <c r="H49" s="2">
        <f>SUM(OSRRefH22_3x_0)</f>
        <v>170</v>
      </c>
      <c r="I49" s="2"/>
      <c r="J49" s="6">
        <f t="shared" si="5"/>
        <v>3.6170212765957448E-3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1868.68</v>
      </c>
      <c r="Q49" s="2"/>
      <c r="R49" s="6">
        <f t="shared" si="8"/>
        <v>8.3622190301028791E-3</v>
      </c>
      <c r="S49" s="2"/>
      <c r="T49" s="2">
        <f>SUM(OSRRefT22_3x_0)</f>
        <v>1870</v>
      </c>
      <c r="U49" s="2"/>
      <c r="V49" s="6">
        <f t="shared" si="9"/>
        <v>4.6711463042989534E-3</v>
      </c>
      <c r="W49" s="2"/>
      <c r="X49" s="2">
        <f t="shared" si="10"/>
        <v>-1.3199999999999363</v>
      </c>
      <c r="Y49" s="2"/>
      <c r="Z49" s="6">
        <f t="shared" si="11"/>
        <v>-7.0588235294114247E-4</v>
      </c>
    </row>
    <row r="50" spans="1:26" s="70" customFormat="1" ht="15" hidden="1" customHeight="1" outlineLevel="2" x14ac:dyDescent="0.25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169.88</v>
      </c>
      <c r="E50" s="3"/>
      <c r="F50" s="7">
        <f t="shared" si="4"/>
        <v>5.9681252645834909E-3</v>
      </c>
      <c r="G50" s="3"/>
      <c r="H50" s="8">
        <v>170</v>
      </c>
      <c r="I50" s="3"/>
      <c r="J50" s="7">
        <f t="shared" si="5"/>
        <v>3.6170212765957448E-3</v>
      </c>
      <c r="K50" s="3"/>
      <c r="L50" s="8">
        <f t="shared" si="6"/>
        <v>-0.12000000000000455</v>
      </c>
      <c r="M50" s="3"/>
      <c r="N50" s="7">
        <f t="shared" si="7"/>
        <v>-7.0588235294120319E-4</v>
      </c>
      <c r="O50" s="12"/>
      <c r="P50" s="8">
        <v>1868.68</v>
      </c>
      <c r="Q50" s="3"/>
      <c r="R50" s="7">
        <f t="shared" si="8"/>
        <v>8.3622190301028791E-3</v>
      </c>
      <c r="S50" s="3"/>
      <c r="T50" s="8">
        <v>1870</v>
      </c>
      <c r="U50" s="3"/>
      <c r="V50" s="7">
        <f t="shared" si="9"/>
        <v>4.6711463042989534E-3</v>
      </c>
      <c r="W50" s="3"/>
      <c r="X50" s="8">
        <f t="shared" si="10"/>
        <v>-1.3199999999999363</v>
      </c>
      <c r="Y50" s="3"/>
      <c r="Z50" s="7">
        <f t="shared" si="11"/>
        <v>-7.0588235294114247E-4</v>
      </c>
    </row>
    <row r="51" spans="1:26" s="69" customFormat="1" ht="15" customHeight="1" outlineLevel="1" collapsed="1" x14ac:dyDescent="0.25">
      <c r="A51" s="26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4.2355842618274311E-2</v>
      </c>
      <c r="G51" s="2"/>
      <c r="H51" s="2">
        <f>SUM(OSRRefH22_4x_0)</f>
        <v>1300</v>
      </c>
      <c r="I51" s="2"/>
      <c r="J51" s="6">
        <f t="shared" si="5"/>
        <v>2.7659574468085105E-2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13353.3</v>
      </c>
      <c r="Q51" s="2"/>
      <c r="R51" s="6">
        <f t="shared" si="8"/>
        <v>5.9755131630173576E-2</v>
      </c>
      <c r="S51" s="2"/>
      <c r="T51" s="2">
        <f>SUM(OSRRefT22_4x_0)</f>
        <v>14100</v>
      </c>
      <c r="U51" s="2"/>
      <c r="V51" s="6">
        <f t="shared" si="9"/>
        <v>3.5220942722254144E-2</v>
      </c>
      <c r="W51" s="2"/>
      <c r="X51" s="2">
        <f t="shared" si="10"/>
        <v>-746.70000000000073</v>
      </c>
      <c r="Y51" s="2"/>
      <c r="Z51" s="6">
        <f t="shared" si="11"/>
        <v>-5.2957446808510687E-2</v>
      </c>
    </row>
    <row r="52" spans="1:26" s="70" customFormat="1" ht="15" hidden="1" customHeight="1" outlineLevel="2" x14ac:dyDescent="0.25">
      <c r="A52" s="25"/>
      <c r="B52" s="12" t="str">
        <f>CONCATENATE("          ","6351"," - ","EQUIPMENT RENTAL")</f>
        <v xml:space="preserve">          6351 - EQUIPMENT RENTAL</v>
      </c>
      <c r="C52" s="12"/>
      <c r="D52" s="8">
        <v>1205.6400000000001</v>
      </c>
      <c r="E52" s="3"/>
      <c r="F52" s="7">
        <f t="shared" si="4"/>
        <v>4.2355842618274311E-2</v>
      </c>
      <c r="G52" s="3"/>
      <c r="H52" s="8">
        <v>1300</v>
      </c>
      <c r="I52" s="3"/>
      <c r="J52" s="7">
        <f t="shared" si="5"/>
        <v>2.7659574468085105E-2</v>
      </c>
      <c r="K52" s="3"/>
      <c r="L52" s="8">
        <f t="shared" si="6"/>
        <v>-94.3599999999999</v>
      </c>
      <c r="M52" s="3"/>
      <c r="N52" s="7">
        <f t="shared" si="7"/>
        <v>-7.2584615384615303E-2</v>
      </c>
      <c r="O52" s="12"/>
      <c r="P52" s="8">
        <v>13353.3</v>
      </c>
      <c r="Q52" s="3"/>
      <c r="R52" s="7">
        <f t="shared" si="8"/>
        <v>5.9755131630173576E-2</v>
      </c>
      <c r="S52" s="3"/>
      <c r="T52" s="8">
        <v>14100</v>
      </c>
      <c r="U52" s="3"/>
      <c r="V52" s="7">
        <f t="shared" si="9"/>
        <v>3.5220942722254144E-2</v>
      </c>
      <c r="W52" s="3"/>
      <c r="X52" s="8">
        <f t="shared" si="10"/>
        <v>-746.70000000000073</v>
      </c>
      <c r="Y52" s="3"/>
      <c r="Z52" s="7">
        <f t="shared" si="11"/>
        <v>-5.2957446808510687E-2</v>
      </c>
    </row>
    <row r="53" spans="1:26" s="69" customFormat="1" ht="15" customHeight="1" outlineLevel="1" collapsed="1" x14ac:dyDescent="0.25">
      <c r="A53" s="26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-2070.3500000000004</v>
      </c>
      <c r="E53" s="2"/>
      <c r="F53" s="6">
        <f t="shared" si="4"/>
        <v>-7.2734330948495601E-2</v>
      </c>
      <c r="G53" s="2"/>
      <c r="H53" s="2">
        <f>SUM(OSRRefH22_5x_0)</f>
        <v>-3000</v>
      </c>
      <c r="I53" s="2"/>
      <c r="J53" s="6">
        <f t="shared" si="5"/>
        <v>-6.3829787234042548E-2</v>
      </c>
      <c r="K53" s="2"/>
      <c r="L53" s="2">
        <f t="shared" si="6"/>
        <v>929.64999999999964</v>
      </c>
      <c r="M53" s="2"/>
      <c r="N53" s="6">
        <f t="shared" si="7"/>
        <v>-0.30988333333333323</v>
      </c>
      <c r="O53" s="14"/>
      <c r="P53" s="2">
        <f>SUM(OSRRefP22_5x_0)</f>
        <v>-70704.59</v>
      </c>
      <c r="Q53" s="2"/>
      <c r="R53" s="6">
        <f t="shared" si="8"/>
        <v>-0.3163983496444665</v>
      </c>
      <c r="S53" s="2"/>
      <c r="T53" s="2">
        <f>SUM(OSRRefT22_5x_0)</f>
        <v>-32700</v>
      </c>
      <c r="U53" s="2"/>
      <c r="V53" s="6">
        <f t="shared" si="9"/>
        <v>-8.1682611845227682E-2</v>
      </c>
      <c r="W53" s="2"/>
      <c r="X53" s="2">
        <f t="shared" si="10"/>
        <v>-38004.589999999997</v>
      </c>
      <c r="Y53" s="2"/>
      <c r="Z53" s="6">
        <f t="shared" si="11"/>
        <v>1.1622198776758408</v>
      </c>
    </row>
    <row r="54" spans="1:26" s="70" customFormat="1" ht="15" hidden="1" customHeight="1" outlineLevel="2" x14ac:dyDescent="0.25">
      <c r="A54" s="25"/>
      <c r="B54" s="12" t="str">
        <f>CONCATENATE("          ","6305"," - ","FREIGHT OUT")</f>
        <v xml:space="preserve">          6305 - FREIGHT OUT</v>
      </c>
      <c r="C54" s="12"/>
      <c r="D54" s="8">
        <v>7268.6</v>
      </c>
      <c r="E54" s="3"/>
      <c r="F54" s="7">
        <f t="shared" si="4"/>
        <v>0.25535622379415801</v>
      </c>
      <c r="G54" s="3"/>
      <c r="H54" s="8">
        <v>1500</v>
      </c>
      <c r="I54" s="3"/>
      <c r="J54" s="7">
        <f t="shared" si="5"/>
        <v>3.1914893617021274E-2</v>
      </c>
      <c r="K54" s="3"/>
      <c r="L54" s="8">
        <f t="shared" si="6"/>
        <v>5768.6</v>
      </c>
      <c r="M54" s="3"/>
      <c r="N54" s="7">
        <f t="shared" si="7"/>
        <v>3.8457333333333334</v>
      </c>
      <c r="O54" s="12"/>
      <c r="P54" s="8">
        <v>120321.72</v>
      </c>
      <c r="Q54" s="3"/>
      <c r="R54" s="7">
        <f t="shared" si="8"/>
        <v>0.53843171474982887</v>
      </c>
      <c r="S54" s="3"/>
      <c r="T54" s="8">
        <v>137300</v>
      </c>
      <c r="U54" s="3"/>
      <c r="V54" s="7">
        <f t="shared" si="9"/>
        <v>0.34296705218194989</v>
      </c>
      <c r="W54" s="3"/>
      <c r="X54" s="8">
        <f t="shared" si="10"/>
        <v>-16978.28</v>
      </c>
      <c r="Y54" s="3"/>
      <c r="Z54" s="7">
        <f t="shared" si="11"/>
        <v>-0.12365826656955571</v>
      </c>
    </row>
    <row r="55" spans="1:26" s="70" customFormat="1" ht="15" hidden="1" customHeight="1" outlineLevel="2" x14ac:dyDescent="0.25">
      <c r="A55" s="25"/>
      <c r="B55" s="12" t="str">
        <f>CONCATENATE("          ","6307"," - ","POSTAGE")</f>
        <v xml:space="preserve">          6307 - POSTAGE</v>
      </c>
      <c r="C55" s="12"/>
      <c r="D55" s="8">
        <v>-9338.9500000000007</v>
      </c>
      <c r="E55" s="3"/>
      <c r="F55" s="7">
        <f t="shared" si="4"/>
        <v>-0.32809055474265364</v>
      </c>
      <c r="G55" s="3"/>
      <c r="H55" s="8">
        <v>-4500</v>
      </c>
      <c r="I55" s="3"/>
      <c r="J55" s="7">
        <f t="shared" si="5"/>
        <v>-9.5744680851063829E-2</v>
      </c>
      <c r="K55" s="3"/>
      <c r="L55" s="8">
        <f t="shared" si="6"/>
        <v>-4838.9500000000007</v>
      </c>
      <c r="M55" s="3"/>
      <c r="N55" s="7">
        <f t="shared" si="7"/>
        <v>1.0753222222222223</v>
      </c>
      <c r="O55" s="12"/>
      <c r="P55" s="8">
        <v>-191026.31</v>
      </c>
      <c r="Q55" s="3"/>
      <c r="R55" s="7">
        <f t="shared" si="8"/>
        <v>-0.85483006439429532</v>
      </c>
      <c r="S55" s="3"/>
      <c r="T55" s="8">
        <v>-170000</v>
      </c>
      <c r="U55" s="3"/>
      <c r="V55" s="7">
        <f t="shared" si="9"/>
        <v>-0.42464966402717758</v>
      </c>
      <c r="W55" s="3"/>
      <c r="X55" s="8">
        <f t="shared" si="10"/>
        <v>-21026.309999999998</v>
      </c>
      <c r="Y55" s="3"/>
      <c r="Z55" s="7">
        <f t="shared" si="11"/>
        <v>0.12368417647058823</v>
      </c>
    </row>
    <row r="56" spans="1:26" s="69" customFormat="1" ht="15" customHeight="1" outlineLevel="1" collapsed="1" x14ac:dyDescent="0.25">
      <c r="A56" s="26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4.0860619241319746E-4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25">
      <c r="A57" s="25"/>
      <c r="B57" s="12" t="str">
        <f>CONCATENATE("          ","6279"," - ","GENERAL EXPENSE")</f>
        <v xml:space="preserve">          6279 - GENERAL EXPENSE</v>
      </c>
      <c r="C57" s="12"/>
      <c r="D57" s="8"/>
      <c r="E57" s="3"/>
      <c r="F57" s="7">
        <f t="shared" ref="F57:F73" si="12">IF(D$12=0,0,D57/D$12)</f>
        <v>0</v>
      </c>
      <c r="G57" s="3"/>
      <c r="H57" s="8"/>
      <c r="I57" s="3"/>
      <c r="J57" s="7">
        <f t="shared" ref="J57:J73" si="13">IF(H$12=0,0,H57/H$12)</f>
        <v>0</v>
      </c>
      <c r="K57" s="3"/>
      <c r="L57" s="8">
        <f t="shared" ref="L57:L73" si="14">+D57-H57</f>
        <v>0</v>
      </c>
      <c r="M57" s="3"/>
      <c r="N57" s="7">
        <f t="shared" ref="N57:N73" si="15">IF(H57=0,0,L57/H57)</f>
        <v>0</v>
      </c>
      <c r="O57" s="12"/>
      <c r="P57" s="8">
        <v>91.31</v>
      </c>
      <c r="Q57" s="3"/>
      <c r="R57" s="7">
        <f t="shared" ref="R57:R73" si="16">IF(P$12=0,0,P57/P$12)</f>
        <v>4.0860619241319746E-4</v>
      </c>
      <c r="S57" s="3"/>
      <c r="T57" s="8"/>
      <c r="U57" s="3"/>
      <c r="V57" s="7">
        <f t="shared" ref="V57:V73" si="17">IF(T$12=0,0,T57/T$12)</f>
        <v>0</v>
      </c>
      <c r="W57" s="3"/>
      <c r="X57" s="8">
        <f t="shared" ref="X57:X73" si="18">+P57-T57</f>
        <v>91.31</v>
      </c>
      <c r="Y57" s="3"/>
      <c r="Z57" s="7">
        <f t="shared" ref="Z57:Z73" si="19">IF(T57=0,0,X57/T57)</f>
        <v>0</v>
      </c>
    </row>
    <row r="58" spans="1:26" s="69" customFormat="1" ht="15" customHeight="1" outlineLevel="1" collapsed="1" x14ac:dyDescent="0.25">
      <c r="A58" s="26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3054.5299999999997</v>
      </c>
      <c r="E58" s="2"/>
      <c r="F58" s="6">
        <f t="shared" si="12"/>
        <v>0.10730996976941494</v>
      </c>
      <c r="G58" s="2"/>
      <c r="H58" s="2">
        <f>SUM(OSRRefH22_7x_0)</f>
        <v>5600</v>
      </c>
      <c r="I58" s="2"/>
      <c r="J58" s="6">
        <f t="shared" si="13"/>
        <v>0.11914893617021277</v>
      </c>
      <c r="K58" s="2"/>
      <c r="L58" s="2">
        <f t="shared" si="14"/>
        <v>-2545.4700000000003</v>
      </c>
      <c r="M58" s="2"/>
      <c r="N58" s="6">
        <f t="shared" si="15"/>
        <v>-0.45454821428571435</v>
      </c>
      <c r="O58" s="14"/>
      <c r="P58" s="2">
        <f>SUM(OSRRefP22_7x_0)</f>
        <v>31359.57</v>
      </c>
      <c r="Q58" s="2"/>
      <c r="R58" s="6">
        <f t="shared" si="16"/>
        <v>0.14033199532816926</v>
      </c>
      <c r="S58" s="2"/>
      <c r="T58" s="2">
        <f>SUM(OSRRefT22_7x_0)</f>
        <v>60500</v>
      </c>
      <c r="U58" s="2"/>
      <c r="V58" s="6">
        <f t="shared" si="17"/>
        <v>0.15112532160967201</v>
      </c>
      <c r="W58" s="2"/>
      <c r="X58" s="2">
        <f t="shared" si="18"/>
        <v>-29140.43</v>
      </c>
      <c r="Y58" s="2"/>
      <c r="Z58" s="6">
        <f t="shared" si="19"/>
        <v>-0.48165999999999998</v>
      </c>
    </row>
    <row r="59" spans="1:26" s="70" customFormat="1" ht="15" hidden="1" customHeight="1" outlineLevel="2" x14ac:dyDescent="0.25">
      <c r="A59" s="25"/>
      <c r="B59" s="12" t="str">
        <f>CONCATENATE("          ","6371"," - ","COMPUTER SOFTWARE MAINTENANCE")</f>
        <v xml:space="preserve">          6371 - COMPUTER SOFTWARE MAINTENANCE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100</v>
      </c>
      <c r="U59" s="3"/>
      <c r="V59" s="7">
        <f t="shared" si="17"/>
        <v>2.4979392001598679E-4</v>
      </c>
      <c r="W59" s="3"/>
      <c r="X59" s="8">
        <f t="shared" si="18"/>
        <v>-100</v>
      </c>
      <c r="Y59" s="3"/>
      <c r="Z59" s="7">
        <f t="shared" si="19"/>
        <v>-1</v>
      </c>
    </row>
    <row r="60" spans="1:26" s="70" customFormat="1" ht="15" hidden="1" customHeight="1" outlineLevel="2" x14ac:dyDescent="0.25">
      <c r="A60" s="25"/>
      <c r="B60" s="12" t="str">
        <f>CONCATENATE("          ","6373"," - ","MAINTENANCE CONTRACTS")</f>
        <v xml:space="preserve">          6373 - MAINTENANCE CONTRACTS</v>
      </c>
      <c r="C60" s="12"/>
      <c r="D60" s="8">
        <v>1294.94</v>
      </c>
      <c r="E60" s="3"/>
      <c r="F60" s="7">
        <f t="shared" si="12"/>
        <v>4.5493078232397843E-2</v>
      </c>
      <c r="G60" s="3"/>
      <c r="H60" s="8">
        <v>5600</v>
      </c>
      <c r="I60" s="3"/>
      <c r="J60" s="7">
        <f t="shared" si="13"/>
        <v>0.11914893617021277</v>
      </c>
      <c r="K60" s="3"/>
      <c r="L60" s="8">
        <f t="shared" si="14"/>
        <v>-4305.0599999999995</v>
      </c>
      <c r="M60" s="3"/>
      <c r="N60" s="7">
        <f t="shared" si="15"/>
        <v>-0.76876071428571424</v>
      </c>
      <c r="O60" s="12"/>
      <c r="P60" s="8">
        <v>10542.83</v>
      </c>
      <c r="Q60" s="3"/>
      <c r="R60" s="7">
        <f t="shared" si="16"/>
        <v>4.7178464829258908E-2</v>
      </c>
      <c r="S60" s="3"/>
      <c r="T60" s="8">
        <v>60400</v>
      </c>
      <c r="U60" s="3"/>
      <c r="V60" s="7">
        <f t="shared" si="17"/>
        <v>0.15087552768965604</v>
      </c>
      <c r="W60" s="3"/>
      <c r="X60" s="8">
        <f t="shared" si="18"/>
        <v>-49857.17</v>
      </c>
      <c r="Y60" s="3"/>
      <c r="Z60" s="7">
        <f t="shared" si="19"/>
        <v>-0.82544983443708608</v>
      </c>
    </row>
    <row r="61" spans="1:26" s="70" customFormat="1" ht="15" hidden="1" customHeight="1" outlineLevel="2" x14ac:dyDescent="0.25">
      <c r="A61" s="25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1759.59</v>
      </c>
      <c r="E61" s="3"/>
      <c r="F61" s="7">
        <f t="shared" si="12"/>
        <v>6.1816891537017096E-2</v>
      </c>
      <c r="G61" s="3"/>
      <c r="H61" s="8"/>
      <c r="I61" s="3"/>
      <c r="J61" s="7">
        <f t="shared" si="13"/>
        <v>0</v>
      </c>
      <c r="K61" s="3"/>
      <c r="L61" s="8">
        <f t="shared" si="14"/>
        <v>1759.59</v>
      </c>
      <c r="M61" s="3"/>
      <c r="N61" s="7">
        <f t="shared" si="15"/>
        <v>0</v>
      </c>
      <c r="O61" s="12"/>
      <c r="P61" s="8">
        <v>20816.740000000002</v>
      </c>
      <c r="Q61" s="3"/>
      <c r="R61" s="7">
        <f t="shared" si="16"/>
        <v>9.3153530498910356E-2</v>
      </c>
      <c r="S61" s="3"/>
      <c r="T61" s="8"/>
      <c r="U61" s="3"/>
      <c r="V61" s="7">
        <f t="shared" si="17"/>
        <v>0</v>
      </c>
      <c r="W61" s="3"/>
      <c r="X61" s="8">
        <f t="shared" si="18"/>
        <v>20816.740000000002</v>
      </c>
      <c r="Y61" s="3"/>
      <c r="Z61" s="7">
        <f t="shared" si="19"/>
        <v>0</v>
      </c>
    </row>
    <row r="62" spans="1:26" s="69" customFormat="1" ht="15" customHeight="1" outlineLevel="1" collapsed="1" x14ac:dyDescent="0.25">
      <c r="A62" s="26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1260.81</v>
      </c>
      <c r="E62" s="2"/>
      <c r="F62" s="6">
        <f t="shared" si="12"/>
        <v>4.4294042941132039E-2</v>
      </c>
      <c r="G62" s="2"/>
      <c r="H62" s="2">
        <f>SUM(OSRRefH22_8x_0)</f>
        <v>6500</v>
      </c>
      <c r="I62" s="2"/>
      <c r="J62" s="6">
        <f t="shared" si="13"/>
        <v>0.13829787234042554</v>
      </c>
      <c r="K62" s="2"/>
      <c r="L62" s="2">
        <f t="shared" si="14"/>
        <v>-5239.1900000000005</v>
      </c>
      <c r="M62" s="2"/>
      <c r="N62" s="6">
        <f t="shared" si="15"/>
        <v>-0.80602923076923083</v>
      </c>
      <c r="O62" s="14"/>
      <c r="P62" s="2">
        <f>SUM(OSRRefP22_8x_0)</f>
        <v>13311.46</v>
      </c>
      <c r="Q62" s="2"/>
      <c r="R62" s="6">
        <f t="shared" si="16"/>
        <v>5.9567900405876478E-2</v>
      </c>
      <c r="S62" s="2"/>
      <c r="T62" s="2">
        <f>SUM(OSRRefT22_8x_0)</f>
        <v>40500</v>
      </c>
      <c r="U62" s="2"/>
      <c r="V62" s="6">
        <f t="shared" si="17"/>
        <v>0.10116653760647466</v>
      </c>
      <c r="W62" s="2"/>
      <c r="X62" s="2">
        <f t="shared" si="18"/>
        <v>-27188.54</v>
      </c>
      <c r="Y62" s="2"/>
      <c r="Z62" s="6">
        <f t="shared" si="19"/>
        <v>-0.67132197530864202</v>
      </c>
    </row>
    <row r="63" spans="1:26" s="70" customFormat="1" ht="15" hidden="1" customHeight="1" outlineLevel="2" x14ac:dyDescent="0.25">
      <c r="A63" s="25"/>
      <c r="B63" s="12" t="str">
        <f>CONCATENATE("          ","6259"," - ","ROYALTY &amp; COMMISSIONS")</f>
        <v xml:space="preserve">          6259 - ROYALTY &amp; COMMISSIONS</v>
      </c>
      <c r="C63" s="12"/>
      <c r="D63" s="8">
        <v>1260.81</v>
      </c>
      <c r="E63" s="3"/>
      <c r="F63" s="7">
        <f t="shared" si="12"/>
        <v>4.4294042941132039E-2</v>
      </c>
      <c r="G63" s="3"/>
      <c r="H63" s="8">
        <v>6500</v>
      </c>
      <c r="I63" s="3"/>
      <c r="J63" s="7">
        <f t="shared" si="13"/>
        <v>0.13829787234042554</v>
      </c>
      <c r="K63" s="3"/>
      <c r="L63" s="8">
        <f t="shared" si="14"/>
        <v>-5239.1900000000005</v>
      </c>
      <c r="M63" s="3"/>
      <c r="N63" s="7">
        <f t="shared" si="15"/>
        <v>-0.80602923076923083</v>
      </c>
      <c r="O63" s="12"/>
      <c r="P63" s="8">
        <v>13311.46</v>
      </c>
      <c r="Q63" s="3"/>
      <c r="R63" s="7">
        <f t="shared" si="16"/>
        <v>5.9567900405876478E-2</v>
      </c>
      <c r="S63" s="3"/>
      <c r="T63" s="8">
        <v>40500</v>
      </c>
      <c r="U63" s="3"/>
      <c r="V63" s="7">
        <f t="shared" si="17"/>
        <v>0.10116653760647466</v>
      </c>
      <c r="W63" s="3"/>
      <c r="X63" s="8">
        <f t="shared" si="18"/>
        <v>-27188.54</v>
      </c>
      <c r="Y63" s="3"/>
      <c r="Z63" s="7">
        <f t="shared" si="19"/>
        <v>-0.67132197530864202</v>
      </c>
    </row>
    <row r="64" spans="1:26" s="69" customFormat="1" ht="15" customHeight="1" outlineLevel="1" collapsed="1" x14ac:dyDescent="0.25">
      <c r="A64" s="26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SUM(OSRRefD22_9x_0)</f>
        <v>0</v>
      </c>
      <c r="E64" s="2"/>
      <c r="F64" s="6">
        <f t="shared" si="12"/>
        <v>0</v>
      </c>
      <c r="G64" s="2"/>
      <c r="H64" s="2">
        <f>SUM(OSRRefH22_9x_0)</f>
        <v>0</v>
      </c>
      <c r="I64" s="2"/>
      <c r="J64" s="6">
        <f t="shared" si="13"/>
        <v>0</v>
      </c>
      <c r="K64" s="2"/>
      <c r="L64" s="2">
        <f t="shared" si="14"/>
        <v>0</v>
      </c>
      <c r="M64" s="2"/>
      <c r="N64" s="6">
        <f t="shared" si="15"/>
        <v>0</v>
      </c>
      <c r="O64" s="14"/>
      <c r="P64" s="2">
        <f>SUM(OSRRefP22_9x_0)</f>
        <v>5.28</v>
      </c>
      <c r="Q64" s="2"/>
      <c r="R64" s="6">
        <f t="shared" si="16"/>
        <v>2.3627649720092901E-5</v>
      </c>
      <c r="S64" s="2"/>
      <c r="T64" s="2">
        <f>SUM(OSRRefT22_9x_0)</f>
        <v>0</v>
      </c>
      <c r="U64" s="2"/>
      <c r="V64" s="6">
        <f t="shared" si="17"/>
        <v>0</v>
      </c>
      <c r="W64" s="2"/>
      <c r="X64" s="2">
        <f t="shared" si="18"/>
        <v>5.28</v>
      </c>
      <c r="Y64" s="2"/>
      <c r="Z64" s="6">
        <f t="shared" si="19"/>
        <v>0</v>
      </c>
    </row>
    <row r="65" spans="1:26" s="70" customFormat="1" ht="15" hidden="1" customHeight="1" outlineLevel="2" x14ac:dyDescent="0.25">
      <c r="A65" s="25"/>
      <c r="B65" s="12" t="str">
        <f>CONCATENATE("          ","6258"," - ","MEMBERSHIP DUES")</f>
        <v xml:space="preserve">          6258 - MEMBERSHIP DUES</v>
      </c>
      <c r="C65" s="12"/>
      <c r="D65" s="8"/>
      <c r="E65" s="3"/>
      <c r="F65" s="7">
        <f t="shared" si="12"/>
        <v>0</v>
      </c>
      <c r="G65" s="3"/>
      <c r="H65" s="8"/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>
        <v>5.28</v>
      </c>
      <c r="Q65" s="3"/>
      <c r="R65" s="7">
        <f t="shared" si="16"/>
        <v>2.3627649720092901E-5</v>
      </c>
      <c r="S65" s="3"/>
      <c r="T65" s="8"/>
      <c r="U65" s="3"/>
      <c r="V65" s="7">
        <f t="shared" si="17"/>
        <v>0</v>
      </c>
      <c r="W65" s="3"/>
      <c r="X65" s="8">
        <f t="shared" si="18"/>
        <v>5.28</v>
      </c>
      <c r="Y65" s="3"/>
      <c r="Z65" s="7">
        <f t="shared" si="19"/>
        <v>0</v>
      </c>
    </row>
    <row r="66" spans="1:26" s="69" customFormat="1" ht="15" customHeight="1" outlineLevel="1" collapsed="1" x14ac:dyDescent="0.25">
      <c r="A66" s="26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SUM(OSRRefD22_10x_0)</f>
        <v>10112.01</v>
      </c>
      <c r="E66" s="2"/>
      <c r="F66" s="6">
        <f t="shared" si="12"/>
        <v>0.35524924862680074</v>
      </c>
      <c r="G66" s="2"/>
      <c r="H66" s="2">
        <f>SUM(OSRRefH22_10x_0)</f>
        <v>5500</v>
      </c>
      <c r="I66" s="2"/>
      <c r="J66" s="6">
        <f t="shared" si="13"/>
        <v>0.11702127659574468</v>
      </c>
      <c r="K66" s="2"/>
      <c r="L66" s="2">
        <f t="shared" si="14"/>
        <v>4612.01</v>
      </c>
      <c r="M66" s="2"/>
      <c r="N66" s="6">
        <f t="shared" si="15"/>
        <v>0.83854727272727281</v>
      </c>
      <c r="O66" s="14"/>
      <c r="P66" s="2">
        <f>SUM(OSRRefP22_10x_0)</f>
        <v>53878.010000000009</v>
      </c>
      <c r="Q66" s="2"/>
      <c r="R66" s="6">
        <f t="shared" si="16"/>
        <v>0.24110052043478461</v>
      </c>
      <c r="S66" s="2"/>
      <c r="T66" s="2">
        <f>SUM(OSRRefT22_10x_0)</f>
        <v>50950</v>
      </c>
      <c r="U66" s="2"/>
      <c r="V66" s="6">
        <f t="shared" si="17"/>
        <v>0.12727000224814528</v>
      </c>
      <c r="W66" s="2"/>
      <c r="X66" s="2">
        <f t="shared" si="18"/>
        <v>2928.0100000000093</v>
      </c>
      <c r="Y66" s="2"/>
      <c r="Z66" s="6">
        <f t="shared" si="19"/>
        <v>5.7468302257115002E-2</v>
      </c>
    </row>
    <row r="67" spans="1:26" s="70" customFormat="1" ht="15" hidden="1" customHeight="1" outlineLevel="2" x14ac:dyDescent="0.25">
      <c r="A67" s="25"/>
      <c r="B67" s="12" t="str">
        <f>CONCATENATE("          ","6234"," - ","EXPENDABLE SUPPLIES &amp; EQUIPMEN")</f>
        <v xml:space="preserve">          6234 - EXPENDABLE SUPPLIES &amp; EQUIPMEN</v>
      </c>
      <c r="C67" s="12"/>
      <c r="D67" s="8"/>
      <c r="E67" s="3"/>
      <c r="F67" s="7">
        <f t="shared" si="12"/>
        <v>0</v>
      </c>
      <c r="G67" s="3"/>
      <c r="H67" s="8"/>
      <c r="I67" s="3"/>
      <c r="J67" s="7">
        <f t="shared" si="13"/>
        <v>0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4993.3100000000004</v>
      </c>
      <c r="Q67" s="3"/>
      <c r="R67" s="7">
        <f t="shared" si="16"/>
        <v>2.2344730989363085E-2</v>
      </c>
      <c r="S67" s="3"/>
      <c r="T67" s="8"/>
      <c r="U67" s="3"/>
      <c r="V67" s="7">
        <f t="shared" si="17"/>
        <v>0</v>
      </c>
      <c r="W67" s="3"/>
      <c r="X67" s="8">
        <f t="shared" si="18"/>
        <v>4993.3100000000004</v>
      </c>
      <c r="Y67" s="3"/>
      <c r="Z67" s="7">
        <f t="shared" si="19"/>
        <v>0</v>
      </c>
    </row>
    <row r="68" spans="1:26" s="70" customFormat="1" ht="15" hidden="1" customHeight="1" outlineLevel="2" x14ac:dyDescent="0.25">
      <c r="A68" s="25"/>
      <c r="B68" s="12" t="str">
        <f>CONCATENATE("          ","6241"," - ","OFFICE EXPENSE")</f>
        <v xml:space="preserve">          6241 - OFFICE EXPENSE</v>
      </c>
      <c r="C68" s="12"/>
      <c r="D68" s="8">
        <v>14.95</v>
      </c>
      <c r="E68" s="3"/>
      <c r="F68" s="7">
        <f t="shared" si="12"/>
        <v>5.2521469687734389E-4</v>
      </c>
      <c r="G68" s="3"/>
      <c r="H68" s="8"/>
      <c r="I68" s="3"/>
      <c r="J68" s="7">
        <f t="shared" si="13"/>
        <v>0</v>
      </c>
      <c r="K68" s="3"/>
      <c r="L68" s="8">
        <f t="shared" si="14"/>
        <v>14.95</v>
      </c>
      <c r="M68" s="3"/>
      <c r="N68" s="7">
        <f t="shared" si="15"/>
        <v>0</v>
      </c>
      <c r="O68" s="12"/>
      <c r="P68" s="8">
        <v>11023.3</v>
      </c>
      <c r="Q68" s="3"/>
      <c r="R68" s="7">
        <f t="shared" si="16"/>
        <v>4.9328536204450768E-2</v>
      </c>
      <c r="S68" s="3"/>
      <c r="T68" s="8">
        <v>50</v>
      </c>
      <c r="U68" s="3"/>
      <c r="V68" s="7">
        <f t="shared" si="17"/>
        <v>1.2489696000799339E-4</v>
      </c>
      <c r="W68" s="3"/>
      <c r="X68" s="8">
        <f t="shared" si="18"/>
        <v>10973.3</v>
      </c>
      <c r="Y68" s="3"/>
      <c r="Z68" s="7">
        <f t="shared" si="19"/>
        <v>219.46599999999998</v>
      </c>
    </row>
    <row r="69" spans="1:26" s="70" customFormat="1" ht="15" hidden="1" customHeight="1" outlineLevel="2" x14ac:dyDescent="0.25">
      <c r="A69" s="25"/>
      <c r="B69" s="12" t="str">
        <f>CONCATENATE("          ","6243"," - ","PAPER SUPPLIES")</f>
        <v xml:space="preserve">          6243 - PAPER SUPPLIES</v>
      </c>
      <c r="C69" s="12"/>
      <c r="D69" s="8">
        <v>2845.58</v>
      </c>
      <c r="E69" s="3"/>
      <c r="F69" s="7">
        <f t="shared" si="12"/>
        <v>9.9969260009380084E-2</v>
      </c>
      <c r="G69" s="3"/>
      <c r="H69" s="8">
        <v>2800</v>
      </c>
      <c r="I69" s="3"/>
      <c r="J69" s="7">
        <f t="shared" si="13"/>
        <v>5.9574468085106386E-2</v>
      </c>
      <c r="K69" s="3"/>
      <c r="L69" s="8">
        <f t="shared" si="14"/>
        <v>45.579999999999927</v>
      </c>
      <c r="M69" s="3"/>
      <c r="N69" s="7">
        <f t="shared" si="15"/>
        <v>1.6278571428571403E-2</v>
      </c>
      <c r="O69" s="12"/>
      <c r="P69" s="8">
        <v>10090.94</v>
      </c>
      <c r="Q69" s="3"/>
      <c r="R69" s="7">
        <f t="shared" si="16"/>
        <v>4.5156287058044364E-2</v>
      </c>
      <c r="S69" s="3"/>
      <c r="T69" s="8">
        <v>37350</v>
      </c>
      <c r="U69" s="3"/>
      <c r="V69" s="7">
        <f t="shared" si="17"/>
        <v>9.3298029125971071E-2</v>
      </c>
      <c r="W69" s="3"/>
      <c r="X69" s="8">
        <f t="shared" si="18"/>
        <v>-27259.059999999998</v>
      </c>
      <c r="Y69" s="3"/>
      <c r="Z69" s="7">
        <f t="shared" si="19"/>
        <v>-0.72982757697456491</v>
      </c>
    </row>
    <row r="70" spans="1:26" s="70" customFormat="1" ht="15" hidden="1" customHeight="1" outlineLevel="2" x14ac:dyDescent="0.25">
      <c r="A70" s="25"/>
      <c r="B70" s="12" t="str">
        <f>CONCATENATE("          ","6245"," - ","PRINTING")</f>
        <v xml:space="preserve">          6245 - PRINTING</v>
      </c>
      <c r="C70" s="12"/>
      <c r="D70" s="8">
        <v>4762.72</v>
      </c>
      <c r="E70" s="3"/>
      <c r="F70" s="7">
        <f t="shared" si="12"/>
        <v>0.16732110642887382</v>
      </c>
      <c r="G70" s="3"/>
      <c r="H70" s="8">
        <v>2300</v>
      </c>
      <c r="I70" s="3"/>
      <c r="J70" s="7">
        <f t="shared" si="13"/>
        <v>4.8936170212765959E-2</v>
      </c>
      <c r="K70" s="3"/>
      <c r="L70" s="8">
        <f t="shared" si="14"/>
        <v>2462.7200000000003</v>
      </c>
      <c r="M70" s="3"/>
      <c r="N70" s="7">
        <f t="shared" si="15"/>
        <v>1.0707478260869567</v>
      </c>
      <c r="O70" s="12"/>
      <c r="P70" s="8">
        <v>10049.41</v>
      </c>
      <c r="Q70" s="3"/>
      <c r="R70" s="7">
        <f t="shared" si="16"/>
        <v>4.4970443063181591E-2</v>
      </c>
      <c r="S70" s="3"/>
      <c r="T70" s="8">
        <v>10345</v>
      </c>
      <c r="U70" s="3"/>
      <c r="V70" s="7">
        <f t="shared" si="17"/>
        <v>2.5841181025653834E-2</v>
      </c>
      <c r="W70" s="3"/>
      <c r="X70" s="8">
        <f t="shared" si="18"/>
        <v>-295.59000000000015</v>
      </c>
      <c r="Y70" s="3"/>
      <c r="Z70" s="7">
        <f t="shared" si="19"/>
        <v>-2.8573223779603689E-2</v>
      </c>
    </row>
    <row r="71" spans="1:26" s="70" customFormat="1" ht="15" hidden="1" customHeight="1" outlineLevel="2" x14ac:dyDescent="0.25">
      <c r="A71" s="25"/>
      <c r="B71" s="12" t="str">
        <f>CONCATENATE("          ","6247"," - ","STORE SUPPLIES")</f>
        <v xml:space="preserve">          6247 - STORE SUPPLIES</v>
      </c>
      <c r="C71" s="12"/>
      <c r="D71" s="8">
        <v>2488.7600000000002</v>
      </c>
      <c r="E71" s="3"/>
      <c r="F71" s="7">
        <f t="shared" si="12"/>
        <v>8.7433667491669476E-2</v>
      </c>
      <c r="G71" s="3"/>
      <c r="H71" s="8">
        <v>400</v>
      </c>
      <c r="I71" s="3"/>
      <c r="J71" s="7">
        <f t="shared" si="13"/>
        <v>8.5106382978723406E-3</v>
      </c>
      <c r="K71" s="3"/>
      <c r="L71" s="8">
        <f t="shared" si="14"/>
        <v>2088.7600000000002</v>
      </c>
      <c r="M71" s="3"/>
      <c r="N71" s="7">
        <f t="shared" si="15"/>
        <v>5.2219000000000007</v>
      </c>
      <c r="O71" s="12"/>
      <c r="P71" s="8">
        <v>17721.05</v>
      </c>
      <c r="Q71" s="3"/>
      <c r="R71" s="7">
        <f t="shared" si="16"/>
        <v>7.930052311974474E-2</v>
      </c>
      <c r="S71" s="3"/>
      <c r="T71" s="8">
        <v>3205</v>
      </c>
      <c r="U71" s="3"/>
      <c r="V71" s="7">
        <f t="shared" si="17"/>
        <v>8.0058951365123768E-3</v>
      </c>
      <c r="W71" s="3"/>
      <c r="X71" s="8">
        <f t="shared" si="18"/>
        <v>14516.05</v>
      </c>
      <c r="Y71" s="3"/>
      <c r="Z71" s="7">
        <f t="shared" si="19"/>
        <v>4.5291887675507017</v>
      </c>
    </row>
    <row r="72" spans="1:26" s="69" customFormat="1" ht="15" customHeight="1" outlineLevel="1" collapsed="1" x14ac:dyDescent="0.25">
      <c r="A72" s="26"/>
      <c r="B72" s="14" t="str">
        <f>CONCATENATE("     ","Telephone/Data Lines                              ")</f>
        <v xml:space="preserve">     Telephone/Data Lines                              </v>
      </c>
      <c r="C72" s="14"/>
      <c r="D72" s="2">
        <f>SUM(OSRRefD22_11x_0)</f>
        <v>84.7</v>
      </c>
      <c r="E72" s="2"/>
      <c r="F72" s="6">
        <f t="shared" si="12"/>
        <v>2.9756310920074271E-3</v>
      </c>
      <c r="G72" s="2"/>
      <c r="H72" s="2">
        <f>SUM(OSRRefH22_11x_0)</f>
        <v>175</v>
      </c>
      <c r="I72" s="2"/>
      <c r="J72" s="6">
        <f t="shared" si="13"/>
        <v>3.7234042553191491E-3</v>
      </c>
      <c r="K72" s="2"/>
      <c r="L72" s="2">
        <f t="shared" si="14"/>
        <v>-90.3</v>
      </c>
      <c r="M72" s="2"/>
      <c r="N72" s="6">
        <f t="shared" si="15"/>
        <v>-0.51600000000000001</v>
      </c>
      <c r="O72" s="14"/>
      <c r="P72" s="2">
        <f>SUM(OSRRefP22_11x_0)</f>
        <v>1256.3</v>
      </c>
      <c r="Q72" s="2"/>
      <c r="R72" s="6">
        <f t="shared" si="16"/>
        <v>5.6218591559380133E-3</v>
      </c>
      <c r="S72" s="2"/>
      <c r="T72" s="2">
        <f>SUM(OSRRefT22_11x_0)</f>
        <v>1925</v>
      </c>
      <c r="U72" s="2"/>
      <c r="V72" s="6">
        <f t="shared" si="17"/>
        <v>4.8085329603077464E-3</v>
      </c>
      <c r="W72" s="2"/>
      <c r="X72" s="2">
        <f t="shared" si="18"/>
        <v>-668.7</v>
      </c>
      <c r="Y72" s="2"/>
      <c r="Z72" s="6">
        <f t="shared" si="19"/>
        <v>-0.34737662337662339</v>
      </c>
    </row>
    <row r="73" spans="1:26" s="70" customFormat="1" ht="15" hidden="1" customHeight="1" outlineLevel="2" x14ac:dyDescent="0.25">
      <c r="A73" s="25"/>
      <c r="B73" s="12" t="str">
        <f>CONCATENATE("          ","6309"," - ","TELEPHONE")</f>
        <v xml:space="preserve">          6309 - TELEPHONE</v>
      </c>
      <c r="C73" s="12"/>
      <c r="D73" s="8">
        <v>84.7</v>
      </c>
      <c r="E73" s="3"/>
      <c r="F73" s="7">
        <f t="shared" si="12"/>
        <v>2.9756310920074271E-3</v>
      </c>
      <c r="G73" s="3"/>
      <c r="H73" s="8">
        <v>175</v>
      </c>
      <c r="I73" s="3"/>
      <c r="J73" s="7">
        <f t="shared" si="13"/>
        <v>3.7234042553191491E-3</v>
      </c>
      <c r="K73" s="3"/>
      <c r="L73" s="8">
        <f t="shared" si="14"/>
        <v>-90.3</v>
      </c>
      <c r="M73" s="3"/>
      <c r="N73" s="7">
        <f t="shared" si="15"/>
        <v>-0.51600000000000001</v>
      </c>
      <c r="O73" s="12"/>
      <c r="P73" s="8">
        <v>1256.3</v>
      </c>
      <c r="Q73" s="3"/>
      <c r="R73" s="7">
        <f t="shared" si="16"/>
        <v>5.6218591559380133E-3</v>
      </c>
      <c r="S73" s="3"/>
      <c r="T73" s="8">
        <v>1925</v>
      </c>
      <c r="U73" s="3"/>
      <c r="V73" s="7">
        <f t="shared" si="17"/>
        <v>4.8085329603077464E-3</v>
      </c>
      <c r="W73" s="3"/>
      <c r="X73" s="8">
        <f t="shared" si="18"/>
        <v>-668.7</v>
      </c>
      <c r="Y73" s="3"/>
      <c r="Z73" s="7">
        <f t="shared" si="19"/>
        <v>-0.34737662337662339</v>
      </c>
    </row>
    <row r="74" spans="1:26" s="65" customFormat="1" ht="15" customHeight="1" x14ac:dyDescent="0.25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collapsed="1" x14ac:dyDescent="0.25">
      <c r="A75" s="11"/>
      <c r="B75" s="27" t="s">
        <v>291</v>
      </c>
      <c r="C75" s="11"/>
      <c r="D75" s="5">
        <f>SUM(OSRRefD25x_0)</f>
        <v>198.47</v>
      </c>
      <c r="E75" s="5"/>
      <c r="F75" s="13">
        <f>IF(D$12=0,0,D75/D$12)</f>
        <v>6.9725325009529398E-3</v>
      </c>
      <c r="G75" s="5"/>
      <c r="H75" s="5">
        <f>SUM(OSRRefH25x_0)</f>
        <v>0</v>
      </c>
      <c r="I75" s="5"/>
      <c r="J75" s="13">
        <f>IF(H$12=0,0,H75/H$12)</f>
        <v>0</v>
      </c>
      <c r="K75" s="5"/>
      <c r="L75" s="5">
        <f>+D75-H75</f>
        <v>198.47</v>
      </c>
      <c r="M75" s="5"/>
      <c r="N75" s="13">
        <f>IF(H75=0,0,L75/H75)</f>
        <v>0</v>
      </c>
      <c r="O75" s="11"/>
      <c r="P75" s="5">
        <f>SUM(OSRRefP25x_0)</f>
        <v>18394.45</v>
      </c>
      <c r="Q75" s="5"/>
      <c r="R75" s="13">
        <f>IF(P$12=0,0,P75/P$12)</f>
        <v>8.2313943445788421E-2</v>
      </c>
      <c r="S75" s="5"/>
      <c r="T75" s="5">
        <f>SUM(OSRRefT25x_0)</f>
        <v>33910</v>
      </c>
      <c r="U75" s="5"/>
      <c r="V75" s="13">
        <f>IF(T$12=0,0,T75/T$12)</f>
        <v>8.4705118277421124E-2</v>
      </c>
      <c r="W75" s="5"/>
      <c r="X75" s="5">
        <f>+P75-T75</f>
        <v>-15515.55</v>
      </c>
      <c r="Y75" s="5"/>
      <c r="Z75" s="13">
        <f>IF(T75=0,0,X75/T75)</f>
        <v>-0.45755086994986727</v>
      </c>
    </row>
    <row r="76" spans="1:26" s="70" customFormat="1" ht="15" hidden="1" customHeight="1" outlineLevel="1" x14ac:dyDescent="0.25">
      <c r="A76" s="42"/>
      <c r="B76" s="12" t="str">
        <f>CONCATENATE("          ","9150"," - ","MISC. INCOME")</f>
        <v xml:space="preserve">          9150 - MISC. INCOME</v>
      </c>
      <c r="C76" s="12"/>
      <c r="D76" s="3">
        <f>--198.47</f>
        <v>198.47</v>
      </c>
      <c r="E76" s="3"/>
      <c r="F76" s="20">
        <f>IF(D$12=0,0,D76/D$12)</f>
        <v>6.9725325009529398E-3</v>
      </c>
      <c r="G76" s="3"/>
      <c r="H76" s="3"/>
      <c r="I76" s="3"/>
      <c r="J76" s="20">
        <f>IF(H$12=0,0,H76/H$12)</f>
        <v>0</v>
      </c>
      <c r="K76" s="3"/>
      <c r="L76" s="3">
        <f>+D76-H76</f>
        <v>198.47</v>
      </c>
      <c r="M76" s="3"/>
      <c r="N76" s="20">
        <f>IF(H76=0,0,L76/H76)</f>
        <v>0</v>
      </c>
      <c r="O76" s="12"/>
      <c r="P76" s="3">
        <f>--18394.45</f>
        <v>18394.45</v>
      </c>
      <c r="Q76" s="3"/>
      <c r="R76" s="20">
        <f>IF(P$12=0,0,P76/P$12)</f>
        <v>8.2313943445788421E-2</v>
      </c>
      <c r="S76" s="3"/>
      <c r="T76" s="3">
        <v>33910</v>
      </c>
      <c r="U76" s="3"/>
      <c r="V76" s="20">
        <f>IF(T$12=0,0,T76/T$12)</f>
        <v>8.4705118277421124E-2</v>
      </c>
      <c r="W76" s="3"/>
      <c r="X76" s="3">
        <f>+P76-T76</f>
        <v>-15515.55</v>
      </c>
      <c r="Y76" s="3"/>
      <c r="Z76" s="20">
        <f>IF(T76=0,0,X76/T76)</f>
        <v>-0.45755086994986727</v>
      </c>
    </row>
    <row r="77" spans="1:26" ht="15" customHeight="1" x14ac:dyDescent="0.25">
      <c r="A77" s="10"/>
      <c r="B77" s="11"/>
      <c r="C77" s="11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O77" s="11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3" customFormat="1" ht="15" customHeight="1" x14ac:dyDescent="0.25">
      <c r="A78" s="11"/>
      <c r="B78" s="28" t="s">
        <v>292</v>
      </c>
      <c r="C78" s="28"/>
      <c r="D78" s="22">
        <f>+D23-D25+D75</f>
        <v>-292.77999999999997</v>
      </c>
      <c r="E78" s="15"/>
      <c r="F78" s="21">
        <f>IF(D$12=0,0,D78/D$12)</f>
        <v>-1.0285776518511622E-2</v>
      </c>
      <c r="G78" s="15"/>
      <c r="H78" s="22">
        <f>+H23-H25+H75</f>
        <v>15963.395024384605</v>
      </c>
      <c r="I78" s="15"/>
      <c r="J78" s="21">
        <f>IF(H$12=0,0,H78/H$12)</f>
        <v>0.33964670264648095</v>
      </c>
      <c r="K78" s="16"/>
      <c r="L78" s="22">
        <f>+D78-H78</f>
        <v>-16256.175024384605</v>
      </c>
      <c r="M78" s="16"/>
      <c r="N78" s="21">
        <f>IF(H78=0,0,L78/H78)</f>
        <v>-1.018340710077823</v>
      </c>
      <c r="O78" s="27"/>
      <c r="P78" s="22">
        <f>+P23-P25+P75</f>
        <v>-32374.479999999876</v>
      </c>
      <c r="Q78" s="15"/>
      <c r="R78" s="21">
        <f>IF(P$12=0,0,P78/P$12)</f>
        <v>-0.14487365024813451</v>
      </c>
      <c r="S78" s="15"/>
      <c r="T78" s="22">
        <f>+T23-T25+T75</f>
        <v>99950.718829922494</v>
      </c>
      <c r="U78" s="15"/>
      <c r="V78" s="21">
        <f>IF(T$12=0,0,T78/T$12)</f>
        <v>0.24967081864942045</v>
      </c>
      <c r="W78" s="16"/>
      <c r="X78" s="22">
        <f>+P78-T78</f>
        <v>-132325.19882992236</v>
      </c>
      <c r="Y78" s="16"/>
      <c r="Z78" s="21">
        <f>IF(T78=0,0,X78/T78)</f>
        <v>-1.3239044238900244</v>
      </c>
    </row>
    <row r="79" spans="1:26" ht="15" customHeight="1" x14ac:dyDescent="0.25">
      <c r="A79" s="10"/>
      <c r="B79" s="11"/>
      <c r="C79" s="10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25">
      <c r="A80" s="49"/>
      <c r="B80" s="11" t="s">
        <v>293</v>
      </c>
      <c r="C80" s="11"/>
      <c r="D80" s="5">
        <v>3032.73</v>
      </c>
      <c r="E80" s="5"/>
      <c r="F80" s="13">
        <f>IF(D$12=0,0,D80/D$12)</f>
        <v>0.10654410486025601</v>
      </c>
      <c r="G80" s="5"/>
      <c r="H80" s="5">
        <v>6161</v>
      </c>
      <c r="I80" s="5"/>
      <c r="J80" s="13">
        <f>IF(H$12=0,0,H80/H$12)</f>
        <v>0.13108510638297871</v>
      </c>
      <c r="K80" s="5"/>
      <c r="L80" s="5">
        <f>+D80-H80</f>
        <v>-3128.27</v>
      </c>
      <c r="M80" s="5"/>
      <c r="N80" s="13">
        <f>IF(H80=0,0,L80/H80)</f>
        <v>-0.50775361142671649</v>
      </c>
      <c r="O80" s="11"/>
      <c r="P80" s="5">
        <v>25123.360000000001</v>
      </c>
      <c r="Q80" s="5"/>
      <c r="R80" s="13">
        <f>IF(P$12=0,0,P80/P$12)</f>
        <v>0.11242536929390022</v>
      </c>
      <c r="S80" s="5"/>
      <c r="T80" s="5">
        <v>49627</v>
      </c>
      <c r="U80" s="5"/>
      <c r="V80" s="13">
        <f>IF(T$12=0,0,T80/T$12)</f>
        <v>0.12396522868633378</v>
      </c>
      <c r="W80" s="5"/>
      <c r="X80" s="5">
        <f>+P80-T80</f>
        <v>-24503.64</v>
      </c>
      <c r="Y80" s="5"/>
      <c r="Z80" s="13">
        <f>IF(T80=0,0,X80/T80)</f>
        <v>-0.49375622141173153</v>
      </c>
    </row>
    <row r="81" spans="1:26" ht="15" customHeight="1" x14ac:dyDescent="0.25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25">
      <c r="A82" s="11"/>
      <c r="B82" s="28" t="s">
        <v>294</v>
      </c>
      <c r="C82" s="28"/>
      <c r="D82" s="34">
        <f>+D78-D80</f>
        <v>-3325.51</v>
      </c>
      <c r="E82" s="15"/>
      <c r="F82" s="32">
        <f>IF(D$12=0,0,D82/D$12)</f>
        <v>-0.11682988137876764</v>
      </c>
      <c r="G82" s="15"/>
      <c r="H82" s="34">
        <f>+H78-H80</f>
        <v>9802.3950243846048</v>
      </c>
      <c r="I82" s="15"/>
      <c r="J82" s="32">
        <f>IF(H$12=0,0,H82/H$12)</f>
        <v>0.20856159626350224</v>
      </c>
      <c r="K82" s="16"/>
      <c r="L82" s="34">
        <f>D82-H82</f>
        <v>-13127.905024384605</v>
      </c>
      <c r="M82" s="16"/>
      <c r="N82" s="32">
        <f>IF(H82=0,0,L82/H82)</f>
        <v>-1.3392548445280368</v>
      </c>
      <c r="O82" s="27"/>
      <c r="P82" s="34">
        <f>+P78-P80</f>
        <v>-57497.83999999988</v>
      </c>
      <c r="Q82" s="15"/>
      <c r="R82" s="32">
        <f>IF(P$12=0,0,P82/P$12)</f>
        <v>-0.25729901954203477</v>
      </c>
      <c r="S82" s="15"/>
      <c r="T82" s="34">
        <f>+T78-T80</f>
        <v>50323.718829922494</v>
      </c>
      <c r="U82" s="15"/>
      <c r="V82" s="32">
        <f>IF(T$12=0,0,T82/T$12)</f>
        <v>0.1257055899630867</v>
      </c>
      <c r="W82" s="16"/>
      <c r="X82" s="34">
        <f>P82-T82</f>
        <v>-107821.55882992237</v>
      </c>
      <c r="Y82" s="16"/>
      <c r="Z82" s="32">
        <f>IF(T82=0,0,X82/T82)</f>
        <v>-2.142559439899971</v>
      </c>
    </row>
    <row r="83" spans="1:26" ht="15" customHeight="1" x14ac:dyDescent="0.25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ht="15" customHeight="1" x14ac:dyDescent="0.25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25">
      <c r="A85" s="11"/>
      <c r="B85" s="28" t="s">
        <v>297</v>
      </c>
      <c r="C85" s="28"/>
      <c r="D85" s="30">
        <f>SUM(D82:D84)</f>
        <v>-3325.51</v>
      </c>
      <c r="E85" s="15"/>
      <c r="F85" s="33">
        <f>IF(D$12=0,0,D85/D$12)</f>
        <v>-0.11682988137876764</v>
      </c>
      <c r="G85" s="15"/>
      <c r="H85" s="30">
        <f>SUM(H82:H84)</f>
        <v>9802.3950243846048</v>
      </c>
      <c r="I85" s="15"/>
      <c r="J85" s="33">
        <f>IF(H$12=0,0,H85/H$12)</f>
        <v>0.20856159626350224</v>
      </c>
      <c r="K85" s="16"/>
      <c r="L85" s="30">
        <f>+D85-H85</f>
        <v>-13127.905024384605</v>
      </c>
      <c r="M85" s="16"/>
      <c r="N85" s="33">
        <f>IF(H85=0,0,L85/H85)</f>
        <v>-1.3392548445280368</v>
      </c>
      <c r="O85" s="27"/>
      <c r="P85" s="30">
        <f>SUM(P82:P84)</f>
        <v>-57497.83999999988</v>
      </c>
      <c r="Q85" s="15"/>
      <c r="R85" s="33">
        <f>IF(P$12=0,0,P85/P$12)</f>
        <v>-0.25729901954203477</v>
      </c>
      <c r="S85" s="15"/>
      <c r="T85" s="30">
        <f>SUM(T82:T84)</f>
        <v>50323.718829922494</v>
      </c>
      <c r="U85" s="15"/>
      <c r="V85" s="33">
        <f>IF(T$12=0,0,T85/T$12)</f>
        <v>0.1257055899630867</v>
      </c>
      <c r="W85" s="16"/>
      <c r="X85" s="30">
        <f>+P85-T85</f>
        <v>-107821.55882992237</v>
      </c>
      <c r="Y85" s="16"/>
      <c r="Z85" s="33">
        <f>IF(T85=0,0,X85/T85)</f>
        <v>-2.142559439899971</v>
      </c>
    </row>
    <row r="86" spans="1:26" ht="15" customHeight="1" x14ac:dyDescent="0.25">
      <c r="A86" s="10"/>
      <c r="C86" s="10"/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A87" s="10"/>
      <c r="B87" s="54">
        <v>44727.874507060187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25">
      <c r="A88" s="10"/>
      <c r="B88" s="50" t="s">
        <v>298</v>
      </c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25">
      <c r="A89" s="10"/>
      <c r="B89" s="58"/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  <row r="90" spans="1:26" ht="15" customHeight="1" x14ac:dyDescent="0.25">
      <c r="D90" s="18"/>
      <c r="E90" s="18"/>
      <c r="G90" s="18"/>
      <c r="H90" s="18"/>
      <c r="I90" s="18"/>
      <c r="J90" s="40"/>
      <c r="K90" s="18"/>
      <c r="L90" s="18"/>
      <c r="M90" s="18"/>
      <c r="P90" s="18"/>
      <c r="Q90" s="18"/>
      <c r="R90" s="40"/>
      <c r="S90" s="18"/>
      <c r="T90" s="18"/>
      <c r="U90" s="18"/>
      <c r="V90" s="40"/>
      <c r="W90" s="18"/>
      <c r="X9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BBCC4-9886-9E85-B0D8-7E15913C699B}">
  <sheetPr>
    <tabColor rgb="FF92D050"/>
    <outlinePr summaryBelow="0" summaryRight="0"/>
  </sheetPr>
  <dimension ref="A2:Z9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","316"," - ","Campus Copy Center")</f>
        <v>Department 316 - Campus Copy Center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28464.55</v>
      </c>
      <c r="E12" s="5"/>
      <c r="F12" s="13"/>
      <c r="G12" s="5"/>
      <c r="H12" s="5">
        <f>SUM(OSRRefH13x_0)</f>
        <v>47000</v>
      </c>
      <c r="I12" s="5"/>
      <c r="J12" s="13"/>
      <c r="K12" s="5"/>
      <c r="L12" s="5">
        <f t="shared" ref="L12:L17" si="0">+D12-H12</f>
        <v>-18535.45</v>
      </c>
      <c r="M12" s="5"/>
      <c r="N12" s="13">
        <f t="shared" ref="N12:N17" si="1">IF(H12=0,0,L12/H12)</f>
        <v>-0.39437127659574467</v>
      </c>
      <c r="O12" s="11"/>
      <c r="P12" s="5">
        <f>SUM(OSRRefP13x_0)</f>
        <v>223467</v>
      </c>
      <c r="Q12" s="5"/>
      <c r="R12" s="13"/>
      <c r="S12" s="5"/>
      <c r="T12" s="5">
        <f>SUM(OSRRefT13x_0)</f>
        <v>400330</v>
      </c>
      <c r="U12" s="5"/>
      <c r="V12" s="13"/>
      <c r="W12" s="5"/>
      <c r="X12" s="5">
        <f t="shared" ref="X12:X17" si="2">+P12-T12</f>
        <v>-176863</v>
      </c>
      <c r="Y12" s="5"/>
      <c r="Z12" s="13">
        <f t="shared" ref="Z12:Z17" si="3">IF(T12=0,0,X12/T12)</f>
        <v>-0.44179302075787474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--23368.25</f>
        <v>23368.25</v>
      </c>
      <c r="E13" s="3"/>
      <c r="F13" s="20"/>
      <c r="G13" s="3"/>
      <c r="H13" s="3">
        <v>20000</v>
      </c>
      <c r="I13" s="3"/>
      <c r="J13" s="20"/>
      <c r="K13" s="3"/>
      <c r="L13" s="3">
        <f t="shared" si="0"/>
        <v>3368.25</v>
      </c>
      <c r="M13" s="3"/>
      <c r="N13" s="20">
        <f t="shared" si="1"/>
        <v>0.16841249999999999</v>
      </c>
      <c r="O13" s="12"/>
      <c r="P13" s="3">
        <f>--173278.92</f>
        <v>173278.92</v>
      </c>
      <c r="Q13" s="3"/>
      <c r="R13" s="20"/>
      <c r="S13" s="3"/>
      <c r="T13" s="3">
        <v>196330</v>
      </c>
      <c r="U13" s="3"/>
      <c r="V13" s="20"/>
      <c r="W13" s="3"/>
      <c r="X13" s="3">
        <f t="shared" si="2"/>
        <v>-23051.079999999987</v>
      </c>
      <c r="Y13" s="3"/>
      <c r="Z13" s="20">
        <f t="shared" si="3"/>
        <v>-0.1174098711353333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--5125.23</f>
        <v>5125.2299999999996</v>
      </c>
      <c r="E14" s="3"/>
      <c r="F14" s="20"/>
      <c r="G14" s="3"/>
      <c r="H14" s="3">
        <v>27000</v>
      </c>
      <c r="I14" s="3"/>
      <c r="J14" s="20"/>
      <c r="K14" s="3"/>
      <c r="L14" s="3">
        <f t="shared" si="0"/>
        <v>-21874.77</v>
      </c>
      <c r="M14" s="3"/>
      <c r="N14" s="20">
        <f t="shared" si="1"/>
        <v>-0.81017666666666666</v>
      </c>
      <c r="O14" s="12"/>
      <c r="P14" s="3">
        <f>--51288.03</f>
        <v>51288.03</v>
      </c>
      <c r="Q14" s="3"/>
      <c r="R14" s="20"/>
      <c r="S14" s="3"/>
      <c r="T14" s="3">
        <v>204000</v>
      </c>
      <c r="U14" s="3"/>
      <c r="V14" s="20"/>
      <c r="W14" s="3"/>
      <c r="X14" s="3">
        <f t="shared" si="2"/>
        <v>-152711.97</v>
      </c>
      <c r="Y14" s="3"/>
      <c r="Z14" s="20">
        <f t="shared" si="3"/>
        <v>-0.7485880882352941</v>
      </c>
    </row>
    <row r="15" spans="1:26" s="70" customFormat="1" ht="15" hidden="1" customHeight="1" outlineLevel="1" x14ac:dyDescent="0.25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","4200"," - ","TAXABLE RETURNS")</f>
        <v xml:space="preserve">          4200 - TAXABLE RETURNS</v>
      </c>
      <c r="C17" s="12"/>
      <c r="D17" s="3">
        <f>-28.93</f>
        <v>-28.93</v>
      </c>
      <c r="E17" s="3"/>
      <c r="F17" s="20"/>
      <c r="G17" s="3"/>
      <c r="H17" s="3"/>
      <c r="I17" s="3"/>
      <c r="J17" s="20"/>
      <c r="K17" s="3"/>
      <c r="L17" s="3">
        <f t="shared" si="0"/>
        <v>-28.93</v>
      </c>
      <c r="M17" s="3"/>
      <c r="N17" s="20">
        <f t="shared" si="1"/>
        <v>0</v>
      </c>
      <c r="O17" s="12"/>
      <c r="P17" s="3">
        <f>-1099.95</f>
        <v>-1099.95</v>
      </c>
      <c r="Q17" s="3"/>
      <c r="R17" s="20"/>
      <c r="S17" s="3"/>
      <c r="T17" s="3"/>
      <c r="U17" s="3"/>
      <c r="V17" s="20"/>
      <c r="W17" s="3"/>
      <c r="X17" s="3">
        <f t="shared" si="2"/>
        <v>-1099.95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3.6962952024236242E-5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3.6962952024236242E-5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D12-D19</f>
        <v>28464.55</v>
      </c>
      <c r="E23" s="15"/>
      <c r="F23" s="21">
        <f>IF(D$12=0,0,D23/D$12)</f>
        <v>1</v>
      </c>
      <c r="G23" s="15"/>
      <c r="H23" s="22">
        <f>H12-H19</f>
        <v>47000</v>
      </c>
      <c r="I23" s="15"/>
      <c r="J23" s="21">
        <f>IF(H$12=0,0,H23/H$12)</f>
        <v>1</v>
      </c>
      <c r="K23" s="16"/>
      <c r="L23" s="22">
        <f>+D23-H23</f>
        <v>-18535.45</v>
      </c>
      <c r="M23" s="16"/>
      <c r="N23" s="21">
        <f>IF(H23=0,0,L23/H23)</f>
        <v>-0.39437127659574467</v>
      </c>
      <c r="O23" s="27"/>
      <c r="P23" s="22">
        <f>P12-P19</f>
        <v>223458.74</v>
      </c>
      <c r="Q23" s="15"/>
      <c r="R23" s="21">
        <f>IF(P$12=0,0,P23/P$12)</f>
        <v>0.99996303704797573</v>
      </c>
      <c r="S23" s="15"/>
      <c r="T23" s="22">
        <f>T12-T19</f>
        <v>400330</v>
      </c>
      <c r="U23" s="15"/>
      <c r="V23" s="21">
        <f>IF(T$12=0,0,T23/T$12)</f>
        <v>1</v>
      </c>
      <c r="W23" s="16"/>
      <c r="X23" s="22">
        <f>+P23-T23</f>
        <v>-176871.26</v>
      </c>
      <c r="Y23" s="16"/>
      <c r="Z23" s="21">
        <f>IF(T23=0,0,X23/T23)</f>
        <v>-0.44181365373566811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28955.8</v>
      </c>
      <c r="E25" s="23"/>
      <c r="F25" s="31">
        <f t="shared" ref="F25:F56" si="4">IF(D$12=0,0,D25/D$12)</f>
        <v>1.0172583090194645</v>
      </c>
      <c r="G25" s="23"/>
      <c r="H25" s="23" cm="1">
        <f t="array" ref="H25">SUM(OSRRefH22x_0)</f>
        <v>31036.604975615395</v>
      </c>
      <c r="I25" s="23"/>
      <c r="J25" s="31">
        <f t="shared" ref="J25:J56" si="5">IF(H$12=0,0,H25/H$12)</f>
        <v>0.660353297353519</v>
      </c>
      <c r="K25" s="5"/>
      <c r="L25" s="23">
        <f t="shared" ref="L25:L56" si="6">+D25-H25</f>
        <v>-2080.804975615396</v>
      </c>
      <c r="M25" s="5"/>
      <c r="N25" s="31">
        <f t="shared" ref="N25:N56" si="7">IF(H25=0,0,L25/H25)</f>
        <v>-6.7043575714876902E-2</v>
      </c>
      <c r="O25" s="11"/>
      <c r="P25" s="23" cm="1">
        <f t="array" ref="P25">SUM(OSRRefP22x_0)</f>
        <v>274227.66999999987</v>
      </c>
      <c r="Q25" s="23"/>
      <c r="R25" s="31">
        <f t="shared" ref="R25:R56" si="8">IF(P$12=0,0,P25/P$12)</f>
        <v>1.2271506307418987</v>
      </c>
      <c r="S25" s="23"/>
      <c r="T25" s="23" cm="1">
        <f t="array" ref="T25">SUM(OSRRefT22x_0)</f>
        <v>334289.28117007751</v>
      </c>
      <c r="U25" s="23"/>
      <c r="V25" s="31">
        <f t="shared" ref="V25:V56" si="9">IF(T$12=0,0,T25/T$12)</f>
        <v>0.83503429962800069</v>
      </c>
      <c r="W25" s="5"/>
      <c r="X25" s="23">
        <f t="shared" ref="X25:X56" si="10">+P25-T25</f>
        <v>-60061.611170077638</v>
      </c>
      <c r="Y25" s="5"/>
      <c r="Z25" s="31">
        <f t="shared" ref="Z25:Z56" si="11">IF(T25=0,0,X25/T25)</f>
        <v>-0.17966956930192413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4624.3500000000004</v>
      </c>
      <c r="E26" s="2"/>
      <c r="F26" s="6">
        <f t="shared" si="4"/>
        <v>0.16245997214078567</v>
      </c>
      <c r="G26" s="2"/>
      <c r="H26" s="2">
        <f>SUM(OSRRefH22_0x_0)</f>
        <v>4438.2928217692333</v>
      </c>
      <c r="I26" s="2"/>
      <c r="J26" s="6">
        <f t="shared" si="5"/>
        <v>9.4431762165302843E-2</v>
      </c>
      <c r="K26" s="2"/>
      <c r="L26" s="2">
        <f t="shared" si="6"/>
        <v>186.05717823076702</v>
      </c>
      <c r="M26" s="2"/>
      <c r="N26" s="6">
        <f t="shared" si="7"/>
        <v>4.1920888436693816E-2</v>
      </c>
      <c r="O26" s="14"/>
      <c r="P26" s="2">
        <f>SUM(OSRRefP22_0x_0)</f>
        <v>77486.00999999998</v>
      </c>
      <c r="Q26" s="2"/>
      <c r="R26" s="6">
        <f t="shared" si="8"/>
        <v>0.34674475425901802</v>
      </c>
      <c r="S26" s="2"/>
      <c r="T26" s="2">
        <f>SUM(OSRRefT22_0x_0)</f>
        <v>63357.608785461533</v>
      </c>
      <c r="U26" s="2"/>
      <c r="V26" s="6">
        <f t="shared" si="9"/>
        <v>0.15826345461359762</v>
      </c>
      <c r="W26" s="2"/>
      <c r="X26" s="2">
        <f t="shared" si="10"/>
        <v>14128.401214538448</v>
      </c>
      <c r="Y26" s="2"/>
      <c r="Z26" s="6">
        <f t="shared" si="11"/>
        <v>0.22299454612277675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734.98</v>
      </c>
      <c r="E27" s="3"/>
      <c r="F27" s="7">
        <f t="shared" si="4"/>
        <v>2.582088949236858E-2</v>
      </c>
      <c r="G27" s="3"/>
      <c r="H27" s="8">
        <v>849.25988561538497</v>
      </c>
      <c r="I27" s="3"/>
      <c r="J27" s="7">
        <f t="shared" si="5"/>
        <v>1.8069359268412445E-2</v>
      </c>
      <c r="K27" s="3"/>
      <c r="L27" s="8">
        <f t="shared" si="6"/>
        <v>-114.27988561538496</v>
      </c>
      <c r="M27" s="3"/>
      <c r="N27" s="7">
        <f t="shared" si="7"/>
        <v>-0.13456409227733185</v>
      </c>
      <c r="O27" s="12"/>
      <c r="P27" s="8">
        <v>12927.72</v>
      </c>
      <c r="Q27" s="3"/>
      <c r="R27" s="7">
        <f t="shared" si="8"/>
        <v>5.7850689363530182E-2</v>
      </c>
      <c r="S27" s="3"/>
      <c r="T27" s="8">
        <v>11166.1726400769</v>
      </c>
      <c r="U27" s="3"/>
      <c r="V27" s="7">
        <f t="shared" si="9"/>
        <v>2.7892420353400695E-2</v>
      </c>
      <c r="W27" s="3"/>
      <c r="X27" s="8">
        <f t="shared" si="10"/>
        <v>1761.5473599230991</v>
      </c>
      <c r="Y27" s="3"/>
      <c r="Z27" s="7">
        <f t="shared" si="11"/>
        <v>0.15775748922246355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265.11</v>
      </c>
      <c r="E28" s="3"/>
      <c r="F28" s="7">
        <f t="shared" si="4"/>
        <v>9.3136901865653945E-3</v>
      </c>
      <c r="G28" s="3"/>
      <c r="H28" s="8">
        <v>173.11452</v>
      </c>
      <c r="I28" s="3"/>
      <c r="J28" s="7">
        <f t="shared" si="5"/>
        <v>3.6832876595744679E-3</v>
      </c>
      <c r="K28" s="3"/>
      <c r="L28" s="8">
        <f t="shared" si="6"/>
        <v>91.995480000000015</v>
      </c>
      <c r="M28" s="3"/>
      <c r="N28" s="7">
        <f t="shared" si="7"/>
        <v>0.53141400270757189</v>
      </c>
      <c r="O28" s="12"/>
      <c r="P28" s="8">
        <v>2980.89</v>
      </c>
      <c r="Q28" s="3"/>
      <c r="R28" s="7">
        <f t="shared" si="8"/>
        <v>1.3339284995099947E-2</v>
      </c>
      <c r="S28" s="3"/>
      <c r="T28" s="8">
        <v>2282.6828399999999</v>
      </c>
      <c r="U28" s="3"/>
      <c r="V28" s="7">
        <f t="shared" si="9"/>
        <v>5.7020029475682559E-3</v>
      </c>
      <c r="W28" s="3"/>
      <c r="X28" s="8">
        <f t="shared" si="10"/>
        <v>698.20715999999993</v>
      </c>
      <c r="Y28" s="3"/>
      <c r="Z28" s="7">
        <f t="shared" si="11"/>
        <v>0.30587129660115198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1287</v>
      </c>
      <c r="E29" s="3"/>
      <c r="F29" s="7">
        <f t="shared" si="4"/>
        <v>4.5214134774658306E-2</v>
      </c>
      <c r="G29" s="3"/>
      <c r="H29" s="8">
        <v>1326</v>
      </c>
      <c r="I29" s="3"/>
      <c r="J29" s="7">
        <f t="shared" si="5"/>
        <v>2.821276595744681E-2</v>
      </c>
      <c r="K29" s="3"/>
      <c r="L29" s="8">
        <f t="shared" si="6"/>
        <v>-39</v>
      </c>
      <c r="M29" s="3"/>
      <c r="N29" s="7">
        <f t="shared" si="7"/>
        <v>-2.9411764705882353E-2</v>
      </c>
      <c r="O29" s="12"/>
      <c r="P29" s="8">
        <v>24321.02</v>
      </c>
      <c r="Q29" s="3"/>
      <c r="R29" s="7">
        <f t="shared" si="8"/>
        <v>0.1088349510218511</v>
      </c>
      <c r="S29" s="3"/>
      <c r="T29" s="8">
        <v>19528.5</v>
      </c>
      <c r="U29" s="3"/>
      <c r="V29" s="7">
        <f t="shared" si="9"/>
        <v>4.8781005670321988E-2</v>
      </c>
      <c r="W29" s="3"/>
      <c r="X29" s="8">
        <f t="shared" si="10"/>
        <v>4792.5200000000004</v>
      </c>
      <c r="Y29" s="3"/>
      <c r="Z29" s="7">
        <f t="shared" si="11"/>
        <v>0.2454115779501754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46.57</v>
      </c>
      <c r="E30" s="3"/>
      <c r="F30" s="7">
        <f t="shared" si="4"/>
        <v>1.6360701293363148E-3</v>
      </c>
      <c r="G30" s="3"/>
      <c r="H30" s="8">
        <v>23.303877692307701</v>
      </c>
      <c r="I30" s="3"/>
      <c r="J30" s="7">
        <f t="shared" si="5"/>
        <v>4.9582718494271707E-4</v>
      </c>
      <c r="K30" s="3"/>
      <c r="L30" s="8">
        <f t="shared" si="6"/>
        <v>23.266122307692299</v>
      </c>
      <c r="M30" s="3"/>
      <c r="N30" s="7">
        <f t="shared" si="7"/>
        <v>0.9983798668567565</v>
      </c>
      <c r="O30" s="12"/>
      <c r="P30" s="8">
        <v>523.66999999999996</v>
      </c>
      <c r="Q30" s="3"/>
      <c r="R30" s="7">
        <f t="shared" si="8"/>
        <v>2.34338850926535E-3</v>
      </c>
      <c r="S30" s="3"/>
      <c r="T30" s="8">
        <v>307.28422846153802</v>
      </c>
      <c r="U30" s="3"/>
      <c r="V30" s="7">
        <f t="shared" si="9"/>
        <v>7.6757731986495643E-4</v>
      </c>
      <c r="W30" s="3"/>
      <c r="X30" s="8">
        <f t="shared" si="10"/>
        <v>216.38577153846194</v>
      </c>
      <c r="Y30" s="3"/>
      <c r="Z30" s="7">
        <f t="shared" si="11"/>
        <v>0.70418769170753714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793.49</v>
      </c>
      <c r="E31" s="3"/>
      <c r="F31" s="7">
        <f t="shared" si="4"/>
        <v>2.7876428750849742E-2</v>
      </c>
      <c r="G31" s="3"/>
      <c r="H31" s="8">
        <v>762.81007692307799</v>
      </c>
      <c r="I31" s="3"/>
      <c r="J31" s="7">
        <f t="shared" si="5"/>
        <v>1.6230001636661235E-2</v>
      </c>
      <c r="K31" s="3"/>
      <c r="L31" s="8">
        <f t="shared" si="6"/>
        <v>30.679923076922023</v>
      </c>
      <c r="M31" s="3"/>
      <c r="N31" s="7">
        <f t="shared" si="7"/>
        <v>4.0219609054818237E-2</v>
      </c>
      <c r="O31" s="12"/>
      <c r="P31" s="8">
        <v>16019.36</v>
      </c>
      <c r="Q31" s="3"/>
      <c r="R31" s="7">
        <f t="shared" si="8"/>
        <v>7.1685573261376409E-2</v>
      </c>
      <c r="S31" s="3"/>
      <c r="T31" s="8">
        <v>10971.3143846154</v>
      </c>
      <c r="U31" s="3"/>
      <c r="V31" s="7">
        <f t="shared" si="9"/>
        <v>2.7405676278608647E-2</v>
      </c>
      <c r="W31" s="3"/>
      <c r="X31" s="8">
        <f t="shared" si="10"/>
        <v>5048.0456153846008</v>
      </c>
      <c r="Y31" s="3"/>
      <c r="Z31" s="7">
        <f t="shared" si="11"/>
        <v>0.4601131130161813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4"/>
        <v>0</v>
      </c>
      <c r="G32" s="3"/>
      <c r="H32" s="8">
        <v>0</v>
      </c>
      <c r="I32" s="3"/>
      <c r="J32" s="7">
        <f t="shared" si="5"/>
        <v>0</v>
      </c>
      <c r="K32" s="3"/>
      <c r="L32" s="8">
        <f t="shared" si="6"/>
        <v>0</v>
      </c>
      <c r="M32" s="3"/>
      <c r="N32" s="7">
        <f t="shared" si="7"/>
        <v>0</v>
      </c>
      <c r="O32" s="12"/>
      <c r="P32" s="8"/>
      <c r="Q32" s="3"/>
      <c r="R32" s="7">
        <f t="shared" si="8"/>
        <v>0</v>
      </c>
      <c r="S32" s="3"/>
      <c r="T32" s="8">
        <v>0</v>
      </c>
      <c r="U32" s="3"/>
      <c r="V32" s="7">
        <f t="shared" si="9"/>
        <v>0</v>
      </c>
      <c r="W32" s="3"/>
      <c r="X32" s="8">
        <f t="shared" si="10"/>
        <v>0</v>
      </c>
      <c r="Y32" s="3"/>
      <c r="Z32" s="7">
        <f t="shared" si="11"/>
        <v>0</v>
      </c>
    </row>
    <row r="33" spans="1:26" s="70" customFormat="1" ht="15" hidden="1" customHeight="1" outlineLevel="2" x14ac:dyDescent="0.25">
      <c r="A33" s="25"/>
      <c r="B33" s="12" t="str">
        <f>CONCATENATE("          ","6118"," - ","VACATION")</f>
        <v xml:space="preserve">          6118 - VACATION</v>
      </c>
      <c r="C33" s="12"/>
      <c r="D33" s="8">
        <v>656.44</v>
      </c>
      <c r="E33" s="3"/>
      <c r="F33" s="7">
        <f t="shared" si="4"/>
        <v>2.306166793432533E-2</v>
      </c>
      <c r="G33" s="3"/>
      <c r="H33" s="8">
        <v>620.89192307692304</v>
      </c>
      <c r="I33" s="3"/>
      <c r="J33" s="7">
        <f t="shared" si="5"/>
        <v>1.321046644844517E-2</v>
      </c>
      <c r="K33" s="3"/>
      <c r="L33" s="8">
        <f t="shared" si="6"/>
        <v>35.548076923077019</v>
      </c>
      <c r="M33" s="3"/>
      <c r="N33" s="7">
        <f t="shared" si="7"/>
        <v>5.7253244247264794E-2</v>
      </c>
      <c r="O33" s="12"/>
      <c r="P33" s="8">
        <v>9158.33</v>
      </c>
      <c r="Q33" s="3"/>
      <c r="R33" s="7">
        <f t="shared" si="8"/>
        <v>4.0982919178223186E-2</v>
      </c>
      <c r="S33" s="3"/>
      <c r="T33" s="8">
        <v>9564.1838461538391</v>
      </c>
      <c r="U33" s="3"/>
      <c r="V33" s="7">
        <f t="shared" si="9"/>
        <v>2.3890749746843451E-2</v>
      </c>
      <c r="W33" s="3"/>
      <c r="X33" s="8">
        <f t="shared" si="10"/>
        <v>-405.85384615383919</v>
      </c>
      <c r="Y33" s="3"/>
      <c r="Z33" s="7">
        <f t="shared" si="11"/>
        <v>-4.2434760004853952E-2</v>
      </c>
    </row>
    <row r="34" spans="1:26" s="70" customFormat="1" ht="15" hidden="1" customHeight="1" outlineLevel="2" x14ac:dyDescent="0.25">
      <c r="A34" s="25"/>
      <c r="B34" s="12" t="str">
        <f>CONCATENATE("          ","6119"," - ","SICK LEAVE")</f>
        <v xml:space="preserve">          6119 - SICK LEAVE</v>
      </c>
      <c r="C34" s="12"/>
      <c r="D34" s="8">
        <v>411.06</v>
      </c>
      <c r="E34" s="3"/>
      <c r="F34" s="7">
        <f t="shared" si="4"/>
        <v>1.4441120621966622E-2</v>
      </c>
      <c r="G34" s="3"/>
      <c r="H34" s="8">
        <v>332.91253846153899</v>
      </c>
      <c r="I34" s="3"/>
      <c r="J34" s="7">
        <f t="shared" si="5"/>
        <v>7.0832454991816805E-3</v>
      </c>
      <c r="K34" s="3"/>
      <c r="L34" s="8">
        <f t="shared" si="6"/>
        <v>78.147461538461016</v>
      </c>
      <c r="M34" s="3"/>
      <c r="N34" s="7">
        <f t="shared" si="7"/>
        <v>0.23473871515803332</v>
      </c>
      <c r="O34" s="12"/>
      <c r="P34" s="8">
        <v>6814.43</v>
      </c>
      <c r="Q34" s="3"/>
      <c r="R34" s="7">
        <f t="shared" si="8"/>
        <v>3.0494122174638764E-2</v>
      </c>
      <c r="S34" s="3"/>
      <c r="T34" s="8">
        <v>4812.4708461538503</v>
      </c>
      <c r="U34" s="3"/>
      <c r="V34" s="7">
        <f t="shared" si="9"/>
        <v>1.2021259576234232E-2</v>
      </c>
      <c r="W34" s="3"/>
      <c r="X34" s="8">
        <f t="shared" si="10"/>
        <v>2001.95915384615</v>
      </c>
      <c r="Y34" s="3"/>
      <c r="Z34" s="7">
        <f t="shared" si="11"/>
        <v>0.41599403255525702</v>
      </c>
    </row>
    <row r="35" spans="1:26" s="70" customFormat="1" ht="15" hidden="1" customHeight="1" outlineLevel="2" x14ac:dyDescent="0.25">
      <c r="A35" s="25"/>
      <c r="B35" s="12" t="str">
        <f>CONCATENATE("          ","6156"," - ","EMPLOYEE MEALS")</f>
        <v xml:space="preserve">          6156 - EMPLOYEE MEALS</v>
      </c>
      <c r="C35" s="12"/>
      <c r="D35" s="8">
        <v>429.7</v>
      </c>
      <c r="E35" s="3"/>
      <c r="F35" s="7">
        <f t="shared" si="4"/>
        <v>1.5095970250715364E-2</v>
      </c>
      <c r="G35" s="3"/>
      <c r="H35" s="8">
        <v>350</v>
      </c>
      <c r="I35" s="3"/>
      <c r="J35" s="7">
        <f t="shared" si="5"/>
        <v>7.4468085106382982E-3</v>
      </c>
      <c r="K35" s="3"/>
      <c r="L35" s="8">
        <f t="shared" si="6"/>
        <v>79.699999999999989</v>
      </c>
      <c r="M35" s="3"/>
      <c r="N35" s="7">
        <f t="shared" si="7"/>
        <v>0.22771428571428567</v>
      </c>
      <c r="O35" s="12"/>
      <c r="P35" s="8">
        <v>4740.59</v>
      </c>
      <c r="Q35" s="3"/>
      <c r="R35" s="7">
        <f t="shared" si="8"/>
        <v>2.1213825755033184E-2</v>
      </c>
      <c r="S35" s="3"/>
      <c r="T35" s="8">
        <v>4725</v>
      </c>
      <c r="U35" s="3"/>
      <c r="V35" s="7">
        <f t="shared" si="9"/>
        <v>1.1802762720755377E-2</v>
      </c>
      <c r="W35" s="3"/>
      <c r="X35" s="8">
        <f t="shared" si="10"/>
        <v>15.590000000000146</v>
      </c>
      <c r="Y35" s="3"/>
      <c r="Z35" s="7">
        <f t="shared" si="11"/>
        <v>3.2994708994709301E-3</v>
      </c>
    </row>
    <row r="36" spans="1:26" s="69" customFormat="1" ht="15" customHeight="1" outlineLevel="1" collapsed="1" x14ac:dyDescent="0.25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10514.23</v>
      </c>
      <c r="E36" s="2"/>
      <c r="F36" s="6">
        <f t="shared" si="4"/>
        <v>0.36937980751496158</v>
      </c>
      <c r="G36" s="2"/>
      <c r="H36" s="2">
        <f>SUM(OSRRefH22_1x_0)</f>
        <v>10303.312153846158</v>
      </c>
      <c r="I36" s="2"/>
      <c r="J36" s="6">
        <f t="shared" si="5"/>
        <v>0.21921940752864166</v>
      </c>
      <c r="K36" s="2"/>
      <c r="L36" s="2">
        <f t="shared" si="6"/>
        <v>210.91784615384131</v>
      </c>
      <c r="M36" s="2"/>
      <c r="N36" s="6">
        <f t="shared" si="7"/>
        <v>2.0470878005487494E-2</v>
      </c>
      <c r="O36" s="14"/>
      <c r="P36" s="2">
        <f>SUM(OSRRefP22_1x_0)</f>
        <v>152170.49</v>
      </c>
      <c r="Q36" s="2"/>
      <c r="R36" s="6">
        <f t="shared" si="8"/>
        <v>0.68095284762403396</v>
      </c>
      <c r="S36" s="2"/>
      <c r="T36" s="2">
        <f>SUM(OSRRefT22_1x_0)</f>
        <v>133236.67238461602</v>
      </c>
      <c r="U36" s="2"/>
      <c r="V36" s="6">
        <f t="shared" si="9"/>
        <v>0.33281710684839011</v>
      </c>
      <c r="W36" s="2"/>
      <c r="X36" s="2">
        <f t="shared" si="10"/>
        <v>18933.817615383974</v>
      </c>
      <c r="Y36" s="2"/>
      <c r="Z36" s="6">
        <f t="shared" si="11"/>
        <v>0.142106653344865</v>
      </c>
    </row>
    <row r="37" spans="1:26" s="70" customFormat="1" ht="15" hidden="1" customHeight="1" outlineLevel="2" x14ac:dyDescent="0.25">
      <c r="A37" s="25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4"/>
        <v>0</v>
      </c>
      <c r="G37" s="3"/>
      <c r="H37" s="8">
        <v>0</v>
      </c>
      <c r="I37" s="3"/>
      <c r="J37" s="7">
        <f t="shared" si="5"/>
        <v>0</v>
      </c>
      <c r="K37" s="3"/>
      <c r="L37" s="8">
        <f t="shared" si="6"/>
        <v>0</v>
      </c>
      <c r="M37" s="3"/>
      <c r="N37" s="7">
        <f t="shared" si="7"/>
        <v>0</v>
      </c>
      <c r="O37" s="12"/>
      <c r="P37" s="8"/>
      <c r="Q37" s="3"/>
      <c r="R37" s="7">
        <f t="shared" si="8"/>
        <v>0</v>
      </c>
      <c r="S37" s="3"/>
      <c r="T37" s="8">
        <v>0</v>
      </c>
      <c r="U37" s="3"/>
      <c r="V37" s="7">
        <f t="shared" si="9"/>
        <v>0</v>
      </c>
      <c r="W37" s="3"/>
      <c r="X37" s="8">
        <f t="shared" si="10"/>
        <v>0</v>
      </c>
      <c r="Y37" s="3"/>
      <c r="Z37" s="7">
        <f t="shared" si="11"/>
        <v>0</v>
      </c>
    </row>
    <row r="38" spans="1:26" s="70" customFormat="1" ht="15" hidden="1" customHeight="1" outlineLevel="2" x14ac:dyDescent="0.25">
      <c r="A38" s="25"/>
      <c r="B38" s="12" t="str">
        <f>CONCATENATE("          ","6002"," - ","STAFF SALARIES")</f>
        <v xml:space="preserve">          6002 - STAFF SALARIES</v>
      </c>
      <c r="C38" s="12"/>
      <c r="D38" s="8">
        <v>7765.33</v>
      </c>
      <c r="E38" s="3"/>
      <c r="F38" s="7">
        <f t="shared" si="4"/>
        <v>0.27280705298344782</v>
      </c>
      <c r="G38" s="3"/>
      <c r="H38" s="8">
        <v>7982.8961538461599</v>
      </c>
      <c r="I38" s="3"/>
      <c r="J38" s="7">
        <f t="shared" si="5"/>
        <v>0.16984885433715233</v>
      </c>
      <c r="K38" s="3"/>
      <c r="L38" s="8">
        <f t="shared" si="6"/>
        <v>-217.56615384615998</v>
      </c>
      <c r="M38" s="3"/>
      <c r="N38" s="7">
        <f t="shared" si="7"/>
        <v>-2.7254037839554834E-2</v>
      </c>
      <c r="O38" s="12"/>
      <c r="P38" s="8">
        <v>121429.14</v>
      </c>
      <c r="Q38" s="3"/>
      <c r="R38" s="7">
        <f t="shared" si="8"/>
        <v>0.54338734578259873</v>
      </c>
      <c r="S38" s="3"/>
      <c r="T38" s="8">
        <v>113759.34038461601</v>
      </c>
      <c r="U38" s="3"/>
      <c r="V38" s="7">
        <f t="shared" si="9"/>
        <v>0.28416391573106187</v>
      </c>
      <c r="W38" s="3"/>
      <c r="X38" s="8">
        <f t="shared" si="10"/>
        <v>7669.7996153839922</v>
      </c>
      <c r="Y38" s="3"/>
      <c r="Z38" s="7">
        <f t="shared" si="11"/>
        <v>6.7421273624237721E-2</v>
      </c>
    </row>
    <row r="39" spans="1:26" s="70" customFormat="1" ht="15" hidden="1" customHeight="1" outlineLevel="2" x14ac:dyDescent="0.25">
      <c r="A39" s="25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4"/>
        <v>0</v>
      </c>
      <c r="G39" s="3"/>
      <c r="H39" s="8">
        <v>0</v>
      </c>
      <c r="I39" s="3"/>
      <c r="J39" s="7">
        <f t="shared" si="5"/>
        <v>0</v>
      </c>
      <c r="K39" s="3"/>
      <c r="L39" s="8">
        <f t="shared" si="6"/>
        <v>0</v>
      </c>
      <c r="M39" s="3"/>
      <c r="N39" s="7">
        <f t="shared" si="7"/>
        <v>0</v>
      </c>
      <c r="O39" s="12"/>
      <c r="P39" s="8"/>
      <c r="Q39" s="3"/>
      <c r="R39" s="7">
        <f t="shared" si="8"/>
        <v>0</v>
      </c>
      <c r="S39" s="3"/>
      <c r="T39" s="8">
        <v>0</v>
      </c>
      <c r="U39" s="3"/>
      <c r="V39" s="7">
        <f t="shared" si="9"/>
        <v>0</v>
      </c>
      <c r="W39" s="3"/>
      <c r="X39" s="8">
        <f t="shared" si="10"/>
        <v>0</v>
      </c>
      <c r="Y39" s="3"/>
      <c r="Z39" s="7">
        <f t="shared" si="11"/>
        <v>0</v>
      </c>
    </row>
    <row r="40" spans="1:26" s="70" customFormat="1" ht="15" hidden="1" customHeight="1" outlineLevel="2" x14ac:dyDescent="0.25">
      <c r="A40" s="25"/>
      <c r="B40" s="12" t="str">
        <f>CONCATENATE("          ","6004"," - ","STAFF HOURLY")</f>
        <v xml:space="preserve">          6004 - STAFF HOURLY</v>
      </c>
      <c r="C40" s="12"/>
      <c r="D40" s="8"/>
      <c r="E40" s="3"/>
      <c r="F40" s="7">
        <f t="shared" si="4"/>
        <v>0</v>
      </c>
      <c r="G40" s="3"/>
      <c r="H40" s="8">
        <v>1386</v>
      </c>
      <c r="I40" s="3"/>
      <c r="J40" s="7">
        <f t="shared" si="5"/>
        <v>2.948936170212766E-2</v>
      </c>
      <c r="K40" s="3"/>
      <c r="L40" s="8">
        <f t="shared" si="6"/>
        <v>-1386</v>
      </c>
      <c r="M40" s="3"/>
      <c r="N40" s="7">
        <f t="shared" si="7"/>
        <v>-1</v>
      </c>
      <c r="O40" s="12"/>
      <c r="P40" s="8"/>
      <c r="Q40" s="3"/>
      <c r="R40" s="7">
        <f t="shared" si="8"/>
        <v>0</v>
      </c>
      <c r="S40" s="3"/>
      <c r="T40" s="8">
        <v>8523.9</v>
      </c>
      <c r="U40" s="3"/>
      <c r="V40" s="7">
        <f t="shared" si="9"/>
        <v>2.1292183948242699E-2</v>
      </c>
      <c r="W40" s="3"/>
      <c r="X40" s="8">
        <f t="shared" si="10"/>
        <v>-8523.9</v>
      </c>
      <c r="Y40" s="3"/>
      <c r="Z40" s="7">
        <f t="shared" si="11"/>
        <v>-1</v>
      </c>
    </row>
    <row r="41" spans="1:26" s="70" customFormat="1" ht="15" hidden="1" customHeight="1" outlineLevel="2" x14ac:dyDescent="0.25">
      <c r="A41" s="25"/>
      <c r="B41" s="12" t="str">
        <f>CONCATENATE("          ","6005"," - ","TEMPORARY WAGES-HOURLY")</f>
        <v xml:space="preserve">          6005 - TEMPORARY WAGES-HOURLY</v>
      </c>
      <c r="C41" s="12"/>
      <c r="D41" s="8"/>
      <c r="E41" s="3"/>
      <c r="F41" s="7">
        <f t="shared" si="4"/>
        <v>0</v>
      </c>
      <c r="G41" s="3"/>
      <c r="H41" s="8">
        <v>0</v>
      </c>
      <c r="I41" s="3"/>
      <c r="J41" s="7">
        <f t="shared" si="5"/>
        <v>0</v>
      </c>
      <c r="K41" s="3"/>
      <c r="L41" s="8">
        <f t="shared" si="6"/>
        <v>0</v>
      </c>
      <c r="M41" s="3"/>
      <c r="N41" s="7">
        <f t="shared" si="7"/>
        <v>0</v>
      </c>
      <c r="O41" s="12"/>
      <c r="P41" s="8"/>
      <c r="Q41" s="3"/>
      <c r="R41" s="7">
        <f t="shared" si="8"/>
        <v>0</v>
      </c>
      <c r="S41" s="3"/>
      <c r="T41" s="8">
        <v>0</v>
      </c>
      <c r="U41" s="3"/>
      <c r="V41" s="7">
        <f t="shared" si="9"/>
        <v>0</v>
      </c>
      <c r="W41" s="3"/>
      <c r="X41" s="8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25">
      <c r="A42" s="25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25">
      <c r="A43" s="25"/>
      <c r="B43" s="12" t="str">
        <f>CONCATENATE("          ","6007"," - ","STUDENT HOURLY")</f>
        <v xml:space="preserve">          6007 - STUDENT HOURLY</v>
      </c>
      <c r="C43" s="12"/>
      <c r="D43" s="8">
        <v>2482.65</v>
      </c>
      <c r="E43" s="3"/>
      <c r="F43" s="7">
        <f t="shared" si="4"/>
        <v>8.7219014528597857E-2</v>
      </c>
      <c r="G43" s="3"/>
      <c r="H43" s="8">
        <v>934.41600000000005</v>
      </c>
      <c r="I43" s="3"/>
      <c r="J43" s="7">
        <f t="shared" si="5"/>
        <v>1.9881191489361703E-2</v>
      </c>
      <c r="K43" s="3"/>
      <c r="L43" s="8">
        <f t="shared" si="6"/>
        <v>1548.2339999999999</v>
      </c>
      <c r="M43" s="3"/>
      <c r="N43" s="7">
        <f t="shared" si="7"/>
        <v>1.656900138696255</v>
      </c>
      <c r="O43" s="12"/>
      <c r="P43" s="8">
        <v>29722.85</v>
      </c>
      <c r="Q43" s="3"/>
      <c r="R43" s="7">
        <f t="shared" si="8"/>
        <v>0.13300778190963319</v>
      </c>
      <c r="S43" s="3"/>
      <c r="T43" s="8">
        <v>10520.832</v>
      </c>
      <c r="U43" s="3"/>
      <c r="V43" s="7">
        <f t="shared" si="9"/>
        <v>2.6280398671096345E-2</v>
      </c>
      <c r="W43" s="3"/>
      <c r="X43" s="8">
        <f t="shared" si="10"/>
        <v>19202.017999999996</v>
      </c>
      <c r="Y43" s="3"/>
      <c r="Z43" s="7">
        <f t="shared" si="11"/>
        <v>1.8251425362556875</v>
      </c>
    </row>
    <row r="44" spans="1:26" s="70" customFormat="1" ht="15" hidden="1" customHeight="1" outlineLevel="2" x14ac:dyDescent="0.25">
      <c r="A44" s="25"/>
      <c r="B44" s="12" t="str">
        <f>CONCATENATE("          ","6008"," - ","STUDENT HOURLY-FICA EXEMPT")</f>
        <v xml:space="preserve">          6008 - STUDENT HOURLY-FICA EXEMPT</v>
      </c>
      <c r="C44" s="12"/>
      <c r="D44" s="8">
        <v>266.25</v>
      </c>
      <c r="E44" s="3"/>
      <c r="F44" s="7">
        <f t="shared" si="4"/>
        <v>9.3537400029159081E-3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266.25</v>
      </c>
      <c r="M44" s="3"/>
      <c r="N44" s="7">
        <f t="shared" si="7"/>
        <v>0</v>
      </c>
      <c r="O44" s="12"/>
      <c r="P44" s="8">
        <v>1018.5</v>
      </c>
      <c r="Q44" s="3"/>
      <c r="R44" s="7">
        <f t="shared" si="8"/>
        <v>4.5577199318020114E-3</v>
      </c>
      <c r="S44" s="3"/>
      <c r="T44" s="8">
        <v>432.6</v>
      </c>
      <c r="U44" s="3"/>
      <c r="V44" s="7">
        <f t="shared" si="9"/>
        <v>1.0806084979891591E-3</v>
      </c>
      <c r="W44" s="3"/>
      <c r="X44" s="8">
        <f t="shared" si="10"/>
        <v>585.9</v>
      </c>
      <c r="Y44" s="3"/>
      <c r="Z44" s="7">
        <f t="shared" si="11"/>
        <v>1.3543689320388348</v>
      </c>
    </row>
    <row r="45" spans="1:26" s="70" customFormat="1" ht="15" hidden="1" customHeight="1" outlineLevel="2" x14ac:dyDescent="0.25">
      <c r="A45" s="25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4"/>
        <v>0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0</v>
      </c>
      <c r="M45" s="3"/>
      <c r="N45" s="7">
        <f t="shared" si="7"/>
        <v>0</v>
      </c>
      <c r="O45" s="12"/>
      <c r="P45" s="8"/>
      <c r="Q45" s="3"/>
      <c r="R45" s="7">
        <f t="shared" si="8"/>
        <v>0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0</v>
      </c>
      <c r="Y45" s="3"/>
      <c r="Z45" s="7">
        <f t="shared" si="11"/>
        <v>0</v>
      </c>
    </row>
    <row r="46" spans="1:26" s="70" customFormat="1" ht="15" hidden="1" customHeight="1" outlineLevel="2" x14ac:dyDescent="0.25">
      <c r="A46" s="25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4"/>
        <v>0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0</v>
      </c>
      <c r="M46" s="3"/>
      <c r="N46" s="7">
        <f t="shared" si="7"/>
        <v>0</v>
      </c>
      <c r="O46" s="12"/>
      <c r="P46" s="8"/>
      <c r="Q46" s="3"/>
      <c r="R46" s="7">
        <f t="shared" si="8"/>
        <v>0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0</v>
      </c>
      <c r="Y46" s="3"/>
      <c r="Z46" s="7">
        <f t="shared" si="11"/>
        <v>0</v>
      </c>
    </row>
    <row r="47" spans="1:26" s="69" customFormat="1" ht="15" customHeight="1" outlineLevel="1" collapsed="1" x14ac:dyDescent="0.25">
      <c r="A47" s="26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50</v>
      </c>
      <c r="I47" s="2"/>
      <c r="J47" s="6">
        <f t="shared" si="5"/>
        <v>1.0638297872340426E-3</v>
      </c>
      <c r="K47" s="2"/>
      <c r="L47" s="2">
        <f t="shared" si="6"/>
        <v>-50</v>
      </c>
      <c r="M47" s="2"/>
      <c r="N47" s="6">
        <f t="shared" si="7"/>
        <v>-1</v>
      </c>
      <c r="O47" s="14"/>
      <c r="P47" s="2">
        <f>SUM(OSRRefP22_2x_0)</f>
        <v>151.85</v>
      </c>
      <c r="Q47" s="2"/>
      <c r="R47" s="6">
        <f t="shared" si="8"/>
        <v>6.7951867613562627E-4</v>
      </c>
      <c r="S47" s="2"/>
      <c r="T47" s="2">
        <f>SUM(OSRRefT22_2x_0)</f>
        <v>550</v>
      </c>
      <c r="U47" s="2"/>
      <c r="V47" s="6">
        <f t="shared" si="9"/>
        <v>1.3738665600879275E-3</v>
      </c>
      <c r="W47" s="2"/>
      <c r="X47" s="2">
        <f t="shared" si="10"/>
        <v>-398.15</v>
      </c>
      <c r="Y47" s="2"/>
      <c r="Z47" s="6">
        <f t="shared" si="11"/>
        <v>-0.72390909090909084</v>
      </c>
    </row>
    <row r="48" spans="1:26" s="70" customFormat="1" ht="15" hidden="1" customHeight="1" outlineLevel="2" x14ac:dyDescent="0.25">
      <c r="A48" s="25"/>
      <c r="B48" s="12" t="str">
        <f>CONCATENATE("          ","6362"," - ","ADVERTISING EXPENSE")</f>
        <v xml:space="preserve">          6362 - ADVERTISING EXPENSE</v>
      </c>
      <c r="C48" s="12"/>
      <c r="D48" s="8"/>
      <c r="E48" s="3"/>
      <c r="F48" s="7">
        <f t="shared" si="4"/>
        <v>0</v>
      </c>
      <c r="G48" s="3"/>
      <c r="H48" s="8">
        <v>50</v>
      </c>
      <c r="I48" s="3"/>
      <c r="J48" s="7">
        <f t="shared" si="5"/>
        <v>1.0638297872340426E-3</v>
      </c>
      <c r="K48" s="3"/>
      <c r="L48" s="8">
        <f t="shared" si="6"/>
        <v>-50</v>
      </c>
      <c r="M48" s="3"/>
      <c r="N48" s="7">
        <f t="shared" si="7"/>
        <v>-1</v>
      </c>
      <c r="O48" s="12"/>
      <c r="P48" s="8">
        <v>151.85</v>
      </c>
      <c r="Q48" s="3"/>
      <c r="R48" s="7">
        <f t="shared" si="8"/>
        <v>6.7951867613562627E-4</v>
      </c>
      <c r="S48" s="3"/>
      <c r="T48" s="8">
        <v>550</v>
      </c>
      <c r="U48" s="3"/>
      <c r="V48" s="7">
        <f t="shared" si="9"/>
        <v>1.3738665600879275E-3</v>
      </c>
      <c r="W48" s="3"/>
      <c r="X48" s="8">
        <f t="shared" si="10"/>
        <v>-398.15</v>
      </c>
      <c r="Y48" s="3"/>
      <c r="Z48" s="7">
        <f t="shared" si="11"/>
        <v>-0.72390909090909084</v>
      </c>
    </row>
    <row r="49" spans="1:26" s="69" customFormat="1" ht="15" customHeight="1" outlineLevel="1" collapsed="1" x14ac:dyDescent="0.25">
      <c r="A49" s="26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5.9681252645834909E-3</v>
      </c>
      <c r="G49" s="2"/>
      <c r="H49" s="2">
        <f>SUM(OSRRefH22_3x_0)</f>
        <v>170</v>
      </c>
      <c r="I49" s="2"/>
      <c r="J49" s="6">
        <f t="shared" si="5"/>
        <v>3.6170212765957448E-3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1868.68</v>
      </c>
      <c r="Q49" s="2"/>
      <c r="R49" s="6">
        <f t="shared" si="8"/>
        <v>8.3622190301028791E-3</v>
      </c>
      <c r="S49" s="2"/>
      <c r="T49" s="2">
        <f>SUM(OSRRefT22_3x_0)</f>
        <v>1870</v>
      </c>
      <c r="U49" s="2"/>
      <c r="V49" s="6">
        <f t="shared" si="9"/>
        <v>4.6711463042989534E-3</v>
      </c>
      <c r="W49" s="2"/>
      <c r="X49" s="2">
        <f t="shared" si="10"/>
        <v>-1.3199999999999363</v>
      </c>
      <c r="Y49" s="2"/>
      <c r="Z49" s="6">
        <f t="shared" si="11"/>
        <v>-7.0588235294114247E-4</v>
      </c>
    </row>
    <row r="50" spans="1:26" s="70" customFormat="1" ht="15" hidden="1" customHeight="1" outlineLevel="2" x14ac:dyDescent="0.25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169.88</v>
      </c>
      <c r="E50" s="3"/>
      <c r="F50" s="7">
        <f t="shared" si="4"/>
        <v>5.9681252645834909E-3</v>
      </c>
      <c r="G50" s="3"/>
      <c r="H50" s="8">
        <v>170</v>
      </c>
      <c r="I50" s="3"/>
      <c r="J50" s="7">
        <f t="shared" si="5"/>
        <v>3.6170212765957448E-3</v>
      </c>
      <c r="K50" s="3"/>
      <c r="L50" s="8">
        <f t="shared" si="6"/>
        <v>-0.12000000000000455</v>
      </c>
      <c r="M50" s="3"/>
      <c r="N50" s="7">
        <f t="shared" si="7"/>
        <v>-7.0588235294120319E-4</v>
      </c>
      <c r="O50" s="12"/>
      <c r="P50" s="8">
        <v>1868.68</v>
      </c>
      <c r="Q50" s="3"/>
      <c r="R50" s="7">
        <f t="shared" si="8"/>
        <v>8.3622190301028791E-3</v>
      </c>
      <c r="S50" s="3"/>
      <c r="T50" s="8">
        <v>1870</v>
      </c>
      <c r="U50" s="3"/>
      <c r="V50" s="7">
        <f t="shared" si="9"/>
        <v>4.6711463042989534E-3</v>
      </c>
      <c r="W50" s="3"/>
      <c r="X50" s="8">
        <f t="shared" si="10"/>
        <v>-1.3199999999999363</v>
      </c>
      <c r="Y50" s="3"/>
      <c r="Z50" s="7">
        <f t="shared" si="11"/>
        <v>-7.0588235294114247E-4</v>
      </c>
    </row>
    <row r="51" spans="1:26" s="69" customFormat="1" ht="15" customHeight="1" outlineLevel="1" collapsed="1" x14ac:dyDescent="0.25">
      <c r="A51" s="26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4.2355842618274311E-2</v>
      </c>
      <c r="G51" s="2"/>
      <c r="H51" s="2">
        <f>SUM(OSRRefH22_4x_0)</f>
        <v>1300</v>
      </c>
      <c r="I51" s="2"/>
      <c r="J51" s="6">
        <f t="shared" si="5"/>
        <v>2.7659574468085105E-2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13353.3</v>
      </c>
      <c r="Q51" s="2"/>
      <c r="R51" s="6">
        <f t="shared" si="8"/>
        <v>5.9755131630173576E-2</v>
      </c>
      <c r="S51" s="2"/>
      <c r="T51" s="2">
        <f>SUM(OSRRefT22_4x_0)</f>
        <v>14100</v>
      </c>
      <c r="U51" s="2"/>
      <c r="V51" s="6">
        <f t="shared" si="9"/>
        <v>3.5220942722254144E-2</v>
      </c>
      <c r="W51" s="2"/>
      <c r="X51" s="2">
        <f t="shared" si="10"/>
        <v>-746.70000000000073</v>
      </c>
      <c r="Y51" s="2"/>
      <c r="Z51" s="6">
        <f t="shared" si="11"/>
        <v>-5.2957446808510687E-2</v>
      </c>
    </row>
    <row r="52" spans="1:26" s="70" customFormat="1" ht="15" hidden="1" customHeight="1" outlineLevel="2" x14ac:dyDescent="0.25">
      <c r="A52" s="25"/>
      <c r="B52" s="12" t="str">
        <f>CONCATENATE("          ","6351"," - ","EQUIPMENT RENTAL")</f>
        <v xml:space="preserve">          6351 - EQUIPMENT RENTAL</v>
      </c>
      <c r="C52" s="12"/>
      <c r="D52" s="8">
        <v>1205.6400000000001</v>
      </c>
      <c r="E52" s="3"/>
      <c r="F52" s="7">
        <f t="shared" si="4"/>
        <v>4.2355842618274311E-2</v>
      </c>
      <c r="G52" s="3"/>
      <c r="H52" s="8">
        <v>1300</v>
      </c>
      <c r="I52" s="3"/>
      <c r="J52" s="7">
        <f t="shared" si="5"/>
        <v>2.7659574468085105E-2</v>
      </c>
      <c r="K52" s="3"/>
      <c r="L52" s="8">
        <f t="shared" si="6"/>
        <v>-94.3599999999999</v>
      </c>
      <c r="M52" s="3"/>
      <c r="N52" s="7">
        <f t="shared" si="7"/>
        <v>-7.2584615384615303E-2</v>
      </c>
      <c r="O52" s="12"/>
      <c r="P52" s="8">
        <v>13353.3</v>
      </c>
      <c r="Q52" s="3"/>
      <c r="R52" s="7">
        <f t="shared" si="8"/>
        <v>5.9755131630173576E-2</v>
      </c>
      <c r="S52" s="3"/>
      <c r="T52" s="8">
        <v>14100</v>
      </c>
      <c r="U52" s="3"/>
      <c r="V52" s="7">
        <f t="shared" si="9"/>
        <v>3.5220942722254144E-2</v>
      </c>
      <c r="W52" s="3"/>
      <c r="X52" s="8">
        <f t="shared" si="10"/>
        <v>-746.70000000000073</v>
      </c>
      <c r="Y52" s="3"/>
      <c r="Z52" s="7">
        <f t="shared" si="11"/>
        <v>-5.2957446808510687E-2</v>
      </c>
    </row>
    <row r="53" spans="1:26" s="69" customFormat="1" ht="15" customHeight="1" outlineLevel="1" collapsed="1" x14ac:dyDescent="0.25">
      <c r="A53" s="26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-2070.3500000000004</v>
      </c>
      <c r="E53" s="2"/>
      <c r="F53" s="6">
        <f t="shared" si="4"/>
        <v>-7.2734330948495601E-2</v>
      </c>
      <c r="G53" s="2"/>
      <c r="H53" s="2">
        <f>SUM(OSRRefH22_5x_0)</f>
        <v>-3000</v>
      </c>
      <c r="I53" s="2"/>
      <c r="J53" s="6">
        <f t="shared" si="5"/>
        <v>-6.3829787234042548E-2</v>
      </c>
      <c r="K53" s="2"/>
      <c r="L53" s="2">
        <f t="shared" si="6"/>
        <v>929.64999999999964</v>
      </c>
      <c r="M53" s="2"/>
      <c r="N53" s="6">
        <f t="shared" si="7"/>
        <v>-0.30988333333333323</v>
      </c>
      <c r="O53" s="14"/>
      <c r="P53" s="2">
        <f>SUM(OSRRefP22_5x_0)</f>
        <v>-70704.59</v>
      </c>
      <c r="Q53" s="2"/>
      <c r="R53" s="6">
        <f t="shared" si="8"/>
        <v>-0.3163983496444665</v>
      </c>
      <c r="S53" s="2"/>
      <c r="T53" s="2">
        <f>SUM(OSRRefT22_5x_0)</f>
        <v>-32700</v>
      </c>
      <c r="U53" s="2"/>
      <c r="V53" s="6">
        <f t="shared" si="9"/>
        <v>-8.1682611845227682E-2</v>
      </c>
      <c r="W53" s="2"/>
      <c r="X53" s="2">
        <f t="shared" si="10"/>
        <v>-38004.589999999997</v>
      </c>
      <c r="Y53" s="2"/>
      <c r="Z53" s="6">
        <f t="shared" si="11"/>
        <v>1.1622198776758408</v>
      </c>
    </row>
    <row r="54" spans="1:26" s="70" customFormat="1" ht="15" hidden="1" customHeight="1" outlineLevel="2" x14ac:dyDescent="0.25">
      <c r="A54" s="25"/>
      <c r="B54" s="12" t="str">
        <f>CONCATENATE("          ","6305"," - ","FREIGHT OUT")</f>
        <v xml:space="preserve">          6305 - FREIGHT OUT</v>
      </c>
      <c r="C54" s="12"/>
      <c r="D54" s="8">
        <v>7268.6</v>
      </c>
      <c r="E54" s="3"/>
      <c r="F54" s="7">
        <f t="shared" si="4"/>
        <v>0.25535622379415801</v>
      </c>
      <c r="G54" s="3"/>
      <c r="H54" s="8">
        <v>1500</v>
      </c>
      <c r="I54" s="3"/>
      <c r="J54" s="7">
        <f t="shared" si="5"/>
        <v>3.1914893617021274E-2</v>
      </c>
      <c r="K54" s="3"/>
      <c r="L54" s="8">
        <f t="shared" si="6"/>
        <v>5768.6</v>
      </c>
      <c r="M54" s="3"/>
      <c r="N54" s="7">
        <f t="shared" si="7"/>
        <v>3.8457333333333334</v>
      </c>
      <c r="O54" s="12"/>
      <c r="P54" s="8">
        <v>120321.72</v>
      </c>
      <c r="Q54" s="3"/>
      <c r="R54" s="7">
        <f t="shared" si="8"/>
        <v>0.53843171474982887</v>
      </c>
      <c r="S54" s="3"/>
      <c r="T54" s="8">
        <v>137300</v>
      </c>
      <c r="U54" s="3"/>
      <c r="V54" s="7">
        <f t="shared" si="9"/>
        <v>0.34296705218194989</v>
      </c>
      <c r="W54" s="3"/>
      <c r="X54" s="8">
        <f t="shared" si="10"/>
        <v>-16978.28</v>
      </c>
      <c r="Y54" s="3"/>
      <c r="Z54" s="7">
        <f t="shared" si="11"/>
        <v>-0.12365826656955571</v>
      </c>
    </row>
    <row r="55" spans="1:26" s="70" customFormat="1" ht="15" hidden="1" customHeight="1" outlineLevel="2" x14ac:dyDescent="0.25">
      <c r="A55" s="25"/>
      <c r="B55" s="12" t="str">
        <f>CONCATENATE("          ","6307"," - ","POSTAGE")</f>
        <v xml:space="preserve">          6307 - POSTAGE</v>
      </c>
      <c r="C55" s="12"/>
      <c r="D55" s="8">
        <v>-9338.9500000000007</v>
      </c>
      <c r="E55" s="3"/>
      <c r="F55" s="7">
        <f t="shared" si="4"/>
        <v>-0.32809055474265364</v>
      </c>
      <c r="G55" s="3"/>
      <c r="H55" s="8">
        <v>-4500</v>
      </c>
      <c r="I55" s="3"/>
      <c r="J55" s="7">
        <f t="shared" si="5"/>
        <v>-9.5744680851063829E-2</v>
      </c>
      <c r="K55" s="3"/>
      <c r="L55" s="8">
        <f t="shared" si="6"/>
        <v>-4838.9500000000007</v>
      </c>
      <c r="M55" s="3"/>
      <c r="N55" s="7">
        <f t="shared" si="7"/>
        <v>1.0753222222222223</v>
      </c>
      <c r="O55" s="12"/>
      <c r="P55" s="8">
        <v>-191026.31</v>
      </c>
      <c r="Q55" s="3"/>
      <c r="R55" s="7">
        <f t="shared" si="8"/>
        <v>-0.85483006439429532</v>
      </c>
      <c r="S55" s="3"/>
      <c r="T55" s="8">
        <v>-170000</v>
      </c>
      <c r="U55" s="3"/>
      <c r="V55" s="7">
        <f t="shared" si="9"/>
        <v>-0.42464966402717758</v>
      </c>
      <c r="W55" s="3"/>
      <c r="X55" s="8">
        <f t="shared" si="10"/>
        <v>-21026.309999999998</v>
      </c>
      <c r="Y55" s="3"/>
      <c r="Z55" s="7">
        <f t="shared" si="11"/>
        <v>0.12368417647058823</v>
      </c>
    </row>
    <row r="56" spans="1:26" s="69" customFormat="1" ht="15" customHeight="1" outlineLevel="1" collapsed="1" x14ac:dyDescent="0.25">
      <c r="A56" s="26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4.0860619241319746E-4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25">
      <c r="A57" s="25"/>
      <c r="B57" s="12" t="str">
        <f>CONCATENATE("          ","6279"," - ","GENERAL EXPENSE")</f>
        <v xml:space="preserve">          6279 - GENERAL EXPENSE</v>
      </c>
      <c r="C57" s="12"/>
      <c r="D57" s="8"/>
      <c r="E57" s="3"/>
      <c r="F57" s="7">
        <f t="shared" ref="F57:F73" si="12">IF(D$12=0,0,D57/D$12)</f>
        <v>0</v>
      </c>
      <c r="G57" s="3"/>
      <c r="H57" s="8"/>
      <c r="I57" s="3"/>
      <c r="J57" s="7">
        <f t="shared" ref="J57:J73" si="13">IF(H$12=0,0,H57/H$12)</f>
        <v>0</v>
      </c>
      <c r="K57" s="3"/>
      <c r="L57" s="8">
        <f t="shared" ref="L57:L73" si="14">+D57-H57</f>
        <v>0</v>
      </c>
      <c r="M57" s="3"/>
      <c r="N57" s="7">
        <f t="shared" ref="N57:N73" si="15">IF(H57=0,0,L57/H57)</f>
        <v>0</v>
      </c>
      <c r="O57" s="12"/>
      <c r="P57" s="8">
        <v>91.31</v>
      </c>
      <c r="Q57" s="3"/>
      <c r="R57" s="7">
        <f t="shared" ref="R57:R73" si="16">IF(P$12=0,0,P57/P$12)</f>
        <v>4.0860619241319746E-4</v>
      </c>
      <c r="S57" s="3"/>
      <c r="T57" s="8"/>
      <c r="U57" s="3"/>
      <c r="V57" s="7">
        <f t="shared" ref="V57:V73" si="17">IF(T$12=0,0,T57/T$12)</f>
        <v>0</v>
      </c>
      <c r="W57" s="3"/>
      <c r="X57" s="8">
        <f t="shared" ref="X57:X73" si="18">+P57-T57</f>
        <v>91.31</v>
      </c>
      <c r="Y57" s="3"/>
      <c r="Z57" s="7">
        <f t="shared" ref="Z57:Z73" si="19">IF(T57=0,0,X57/T57)</f>
        <v>0</v>
      </c>
    </row>
    <row r="58" spans="1:26" s="69" customFormat="1" ht="15" customHeight="1" outlineLevel="1" collapsed="1" x14ac:dyDescent="0.25">
      <c r="A58" s="26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3054.5299999999997</v>
      </c>
      <c r="E58" s="2"/>
      <c r="F58" s="6">
        <f t="shared" si="12"/>
        <v>0.10730996976941494</v>
      </c>
      <c r="G58" s="2"/>
      <c r="H58" s="2">
        <f>SUM(OSRRefH22_7x_0)</f>
        <v>5600</v>
      </c>
      <c r="I58" s="2"/>
      <c r="J58" s="6">
        <f t="shared" si="13"/>
        <v>0.11914893617021277</v>
      </c>
      <c r="K58" s="2"/>
      <c r="L58" s="2">
        <f t="shared" si="14"/>
        <v>-2545.4700000000003</v>
      </c>
      <c r="M58" s="2"/>
      <c r="N58" s="6">
        <f t="shared" si="15"/>
        <v>-0.45454821428571435</v>
      </c>
      <c r="O58" s="14"/>
      <c r="P58" s="2">
        <f>SUM(OSRRefP22_7x_0)</f>
        <v>31359.57</v>
      </c>
      <c r="Q58" s="2"/>
      <c r="R58" s="6">
        <f t="shared" si="16"/>
        <v>0.14033199532816926</v>
      </c>
      <c r="S58" s="2"/>
      <c r="T58" s="2">
        <f>SUM(OSRRefT22_7x_0)</f>
        <v>60500</v>
      </c>
      <c r="U58" s="2"/>
      <c r="V58" s="6">
        <f t="shared" si="17"/>
        <v>0.15112532160967201</v>
      </c>
      <c r="W58" s="2"/>
      <c r="X58" s="2">
        <f t="shared" si="18"/>
        <v>-29140.43</v>
      </c>
      <c r="Y58" s="2"/>
      <c r="Z58" s="6">
        <f t="shared" si="19"/>
        <v>-0.48165999999999998</v>
      </c>
    </row>
    <row r="59" spans="1:26" s="70" customFormat="1" ht="15" hidden="1" customHeight="1" outlineLevel="2" x14ac:dyDescent="0.25">
      <c r="A59" s="25"/>
      <c r="B59" s="12" t="str">
        <f>CONCATENATE("          ","6371"," - ","COMPUTER SOFTWARE MAINTENANCE")</f>
        <v xml:space="preserve">          6371 - COMPUTER SOFTWARE MAINTENANCE</v>
      </c>
      <c r="C59" s="12"/>
      <c r="D59" s="8"/>
      <c r="E59" s="3"/>
      <c r="F59" s="7">
        <f t="shared" si="12"/>
        <v>0</v>
      </c>
      <c r="G59" s="3"/>
      <c r="H59" s="8"/>
      <c r="I59" s="3"/>
      <c r="J59" s="7">
        <f t="shared" si="13"/>
        <v>0</v>
      </c>
      <c r="K59" s="3"/>
      <c r="L59" s="8">
        <f t="shared" si="14"/>
        <v>0</v>
      </c>
      <c r="M59" s="3"/>
      <c r="N59" s="7">
        <f t="shared" si="15"/>
        <v>0</v>
      </c>
      <c r="O59" s="12"/>
      <c r="P59" s="8"/>
      <c r="Q59" s="3"/>
      <c r="R59" s="7">
        <f t="shared" si="16"/>
        <v>0</v>
      </c>
      <c r="S59" s="3"/>
      <c r="T59" s="8">
        <v>100</v>
      </c>
      <c r="U59" s="3"/>
      <c r="V59" s="7">
        <f t="shared" si="17"/>
        <v>2.4979392001598679E-4</v>
      </c>
      <c r="W59" s="3"/>
      <c r="X59" s="8">
        <f t="shared" si="18"/>
        <v>-100</v>
      </c>
      <c r="Y59" s="3"/>
      <c r="Z59" s="7">
        <f t="shared" si="19"/>
        <v>-1</v>
      </c>
    </row>
    <row r="60" spans="1:26" s="70" customFormat="1" ht="15" hidden="1" customHeight="1" outlineLevel="2" x14ac:dyDescent="0.25">
      <c r="A60" s="25"/>
      <c r="B60" s="12" t="str">
        <f>CONCATENATE("          ","6373"," - ","MAINTENANCE CONTRACTS")</f>
        <v xml:space="preserve">          6373 - MAINTENANCE CONTRACTS</v>
      </c>
      <c r="C60" s="12"/>
      <c r="D60" s="8">
        <v>1294.94</v>
      </c>
      <c r="E60" s="3"/>
      <c r="F60" s="7">
        <f t="shared" si="12"/>
        <v>4.5493078232397843E-2</v>
      </c>
      <c r="G60" s="3"/>
      <c r="H60" s="8">
        <v>5600</v>
      </c>
      <c r="I60" s="3"/>
      <c r="J60" s="7">
        <f t="shared" si="13"/>
        <v>0.11914893617021277</v>
      </c>
      <c r="K60" s="3"/>
      <c r="L60" s="8">
        <f t="shared" si="14"/>
        <v>-4305.0599999999995</v>
      </c>
      <c r="M60" s="3"/>
      <c r="N60" s="7">
        <f t="shared" si="15"/>
        <v>-0.76876071428571424</v>
      </c>
      <c r="O60" s="12"/>
      <c r="P60" s="8">
        <v>10542.83</v>
      </c>
      <c r="Q60" s="3"/>
      <c r="R60" s="7">
        <f t="shared" si="16"/>
        <v>4.7178464829258908E-2</v>
      </c>
      <c r="S60" s="3"/>
      <c r="T60" s="8">
        <v>60400</v>
      </c>
      <c r="U60" s="3"/>
      <c r="V60" s="7">
        <f t="shared" si="17"/>
        <v>0.15087552768965604</v>
      </c>
      <c r="W60" s="3"/>
      <c r="X60" s="8">
        <f t="shared" si="18"/>
        <v>-49857.17</v>
      </c>
      <c r="Y60" s="3"/>
      <c r="Z60" s="7">
        <f t="shared" si="19"/>
        <v>-0.82544983443708608</v>
      </c>
    </row>
    <row r="61" spans="1:26" s="70" customFormat="1" ht="15" hidden="1" customHeight="1" outlineLevel="2" x14ac:dyDescent="0.25">
      <c r="A61" s="25"/>
      <c r="B61" s="12" t="str">
        <f>CONCATENATE("          ","6375"," - ","OUTSIDE REPAIRS &amp; MAINTENANCE")</f>
        <v xml:space="preserve">          6375 - OUTSIDE REPAIRS &amp; MAINTENANCE</v>
      </c>
      <c r="C61" s="12"/>
      <c r="D61" s="8">
        <v>1759.59</v>
      </c>
      <c r="E61" s="3"/>
      <c r="F61" s="7">
        <f t="shared" si="12"/>
        <v>6.1816891537017096E-2</v>
      </c>
      <c r="G61" s="3"/>
      <c r="H61" s="8"/>
      <c r="I61" s="3"/>
      <c r="J61" s="7">
        <f t="shared" si="13"/>
        <v>0</v>
      </c>
      <c r="K61" s="3"/>
      <c r="L61" s="8">
        <f t="shared" si="14"/>
        <v>1759.59</v>
      </c>
      <c r="M61" s="3"/>
      <c r="N61" s="7">
        <f t="shared" si="15"/>
        <v>0</v>
      </c>
      <c r="O61" s="12"/>
      <c r="P61" s="8">
        <v>20816.740000000002</v>
      </c>
      <c r="Q61" s="3"/>
      <c r="R61" s="7">
        <f t="shared" si="16"/>
        <v>9.3153530498910356E-2</v>
      </c>
      <c r="S61" s="3"/>
      <c r="T61" s="8"/>
      <c r="U61" s="3"/>
      <c r="V61" s="7">
        <f t="shared" si="17"/>
        <v>0</v>
      </c>
      <c r="W61" s="3"/>
      <c r="X61" s="8">
        <f t="shared" si="18"/>
        <v>20816.740000000002</v>
      </c>
      <c r="Y61" s="3"/>
      <c r="Z61" s="7">
        <f t="shared" si="19"/>
        <v>0</v>
      </c>
    </row>
    <row r="62" spans="1:26" s="69" customFormat="1" ht="15" customHeight="1" outlineLevel="1" collapsed="1" x14ac:dyDescent="0.25">
      <c r="A62" s="26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1260.81</v>
      </c>
      <c r="E62" s="2"/>
      <c r="F62" s="6">
        <f t="shared" si="12"/>
        <v>4.4294042941132039E-2</v>
      </c>
      <c r="G62" s="2"/>
      <c r="H62" s="2">
        <f>SUM(OSRRefH22_8x_0)</f>
        <v>6500</v>
      </c>
      <c r="I62" s="2"/>
      <c r="J62" s="6">
        <f t="shared" si="13"/>
        <v>0.13829787234042554</v>
      </c>
      <c r="K62" s="2"/>
      <c r="L62" s="2">
        <f t="shared" si="14"/>
        <v>-5239.1900000000005</v>
      </c>
      <c r="M62" s="2"/>
      <c r="N62" s="6">
        <f t="shared" si="15"/>
        <v>-0.80602923076923083</v>
      </c>
      <c r="O62" s="14"/>
      <c r="P62" s="2">
        <f>SUM(OSRRefP22_8x_0)</f>
        <v>13311.46</v>
      </c>
      <c r="Q62" s="2"/>
      <c r="R62" s="6">
        <f t="shared" si="16"/>
        <v>5.9567900405876478E-2</v>
      </c>
      <c r="S62" s="2"/>
      <c r="T62" s="2">
        <f>SUM(OSRRefT22_8x_0)</f>
        <v>40500</v>
      </c>
      <c r="U62" s="2"/>
      <c r="V62" s="6">
        <f t="shared" si="17"/>
        <v>0.10116653760647466</v>
      </c>
      <c r="W62" s="2"/>
      <c r="X62" s="2">
        <f t="shared" si="18"/>
        <v>-27188.54</v>
      </c>
      <c r="Y62" s="2"/>
      <c r="Z62" s="6">
        <f t="shared" si="19"/>
        <v>-0.67132197530864202</v>
      </c>
    </row>
    <row r="63" spans="1:26" s="70" customFormat="1" ht="15" hidden="1" customHeight="1" outlineLevel="2" x14ac:dyDescent="0.25">
      <c r="A63" s="25"/>
      <c r="B63" s="12" t="str">
        <f>CONCATENATE("          ","6259"," - ","ROYALTY &amp; COMMISSIONS")</f>
        <v xml:space="preserve">          6259 - ROYALTY &amp; COMMISSIONS</v>
      </c>
      <c r="C63" s="12"/>
      <c r="D63" s="8">
        <v>1260.81</v>
      </c>
      <c r="E63" s="3"/>
      <c r="F63" s="7">
        <f t="shared" si="12"/>
        <v>4.4294042941132039E-2</v>
      </c>
      <c r="G63" s="3"/>
      <c r="H63" s="8">
        <v>6500</v>
      </c>
      <c r="I63" s="3"/>
      <c r="J63" s="7">
        <f t="shared" si="13"/>
        <v>0.13829787234042554</v>
      </c>
      <c r="K63" s="3"/>
      <c r="L63" s="8">
        <f t="shared" si="14"/>
        <v>-5239.1900000000005</v>
      </c>
      <c r="M63" s="3"/>
      <c r="N63" s="7">
        <f t="shared" si="15"/>
        <v>-0.80602923076923083</v>
      </c>
      <c r="O63" s="12"/>
      <c r="P63" s="8">
        <v>13311.46</v>
      </c>
      <c r="Q63" s="3"/>
      <c r="R63" s="7">
        <f t="shared" si="16"/>
        <v>5.9567900405876478E-2</v>
      </c>
      <c r="S63" s="3"/>
      <c r="T63" s="8">
        <v>40500</v>
      </c>
      <c r="U63" s="3"/>
      <c r="V63" s="7">
        <f t="shared" si="17"/>
        <v>0.10116653760647466</v>
      </c>
      <c r="W63" s="3"/>
      <c r="X63" s="8">
        <f t="shared" si="18"/>
        <v>-27188.54</v>
      </c>
      <c r="Y63" s="3"/>
      <c r="Z63" s="7">
        <f t="shared" si="19"/>
        <v>-0.67132197530864202</v>
      </c>
    </row>
    <row r="64" spans="1:26" s="69" customFormat="1" ht="15" customHeight="1" outlineLevel="1" collapsed="1" x14ac:dyDescent="0.25">
      <c r="A64" s="26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SUM(OSRRefD22_9x_0)</f>
        <v>0</v>
      </c>
      <c r="E64" s="2"/>
      <c r="F64" s="6">
        <f t="shared" si="12"/>
        <v>0</v>
      </c>
      <c r="G64" s="2"/>
      <c r="H64" s="2">
        <f>SUM(OSRRefH22_9x_0)</f>
        <v>0</v>
      </c>
      <c r="I64" s="2"/>
      <c r="J64" s="6">
        <f t="shared" si="13"/>
        <v>0</v>
      </c>
      <c r="K64" s="2"/>
      <c r="L64" s="2">
        <f t="shared" si="14"/>
        <v>0</v>
      </c>
      <c r="M64" s="2"/>
      <c r="N64" s="6">
        <f t="shared" si="15"/>
        <v>0</v>
      </c>
      <c r="O64" s="14"/>
      <c r="P64" s="2">
        <f>SUM(OSRRefP22_9x_0)</f>
        <v>5.28</v>
      </c>
      <c r="Q64" s="2"/>
      <c r="R64" s="6">
        <f t="shared" si="16"/>
        <v>2.3627649720092901E-5</v>
      </c>
      <c r="S64" s="2"/>
      <c r="T64" s="2">
        <f>SUM(OSRRefT22_9x_0)</f>
        <v>0</v>
      </c>
      <c r="U64" s="2"/>
      <c r="V64" s="6">
        <f t="shared" si="17"/>
        <v>0</v>
      </c>
      <c r="W64" s="2"/>
      <c r="X64" s="2">
        <f t="shared" si="18"/>
        <v>5.28</v>
      </c>
      <c r="Y64" s="2"/>
      <c r="Z64" s="6">
        <f t="shared" si="19"/>
        <v>0</v>
      </c>
    </row>
    <row r="65" spans="1:26" s="70" customFormat="1" ht="15" hidden="1" customHeight="1" outlineLevel="2" x14ac:dyDescent="0.25">
      <c r="A65" s="25"/>
      <c r="B65" s="12" t="str">
        <f>CONCATENATE("          ","6258"," - ","MEMBERSHIP DUES")</f>
        <v xml:space="preserve">          6258 - MEMBERSHIP DUES</v>
      </c>
      <c r="C65" s="12"/>
      <c r="D65" s="8"/>
      <c r="E65" s="3"/>
      <c r="F65" s="7">
        <f t="shared" si="12"/>
        <v>0</v>
      </c>
      <c r="G65" s="3"/>
      <c r="H65" s="8"/>
      <c r="I65" s="3"/>
      <c r="J65" s="7">
        <f t="shared" si="13"/>
        <v>0</v>
      </c>
      <c r="K65" s="3"/>
      <c r="L65" s="8">
        <f t="shared" si="14"/>
        <v>0</v>
      </c>
      <c r="M65" s="3"/>
      <c r="N65" s="7">
        <f t="shared" si="15"/>
        <v>0</v>
      </c>
      <c r="O65" s="12"/>
      <c r="P65" s="8">
        <v>5.28</v>
      </c>
      <c r="Q65" s="3"/>
      <c r="R65" s="7">
        <f t="shared" si="16"/>
        <v>2.3627649720092901E-5</v>
      </c>
      <c r="S65" s="3"/>
      <c r="T65" s="8"/>
      <c r="U65" s="3"/>
      <c r="V65" s="7">
        <f t="shared" si="17"/>
        <v>0</v>
      </c>
      <c r="W65" s="3"/>
      <c r="X65" s="8">
        <f t="shared" si="18"/>
        <v>5.28</v>
      </c>
      <c r="Y65" s="3"/>
      <c r="Z65" s="7">
        <f t="shared" si="19"/>
        <v>0</v>
      </c>
    </row>
    <row r="66" spans="1:26" s="69" customFormat="1" ht="15" customHeight="1" outlineLevel="1" collapsed="1" x14ac:dyDescent="0.25">
      <c r="A66" s="26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SUM(OSRRefD22_10x_0)</f>
        <v>10112.01</v>
      </c>
      <c r="E66" s="2"/>
      <c r="F66" s="6">
        <f t="shared" si="12"/>
        <v>0.35524924862680074</v>
      </c>
      <c r="G66" s="2"/>
      <c r="H66" s="2">
        <f>SUM(OSRRefH22_10x_0)</f>
        <v>5500</v>
      </c>
      <c r="I66" s="2"/>
      <c r="J66" s="6">
        <f t="shared" si="13"/>
        <v>0.11702127659574468</v>
      </c>
      <c r="K66" s="2"/>
      <c r="L66" s="2">
        <f t="shared" si="14"/>
        <v>4612.01</v>
      </c>
      <c r="M66" s="2"/>
      <c r="N66" s="6">
        <f t="shared" si="15"/>
        <v>0.83854727272727281</v>
      </c>
      <c r="O66" s="14"/>
      <c r="P66" s="2">
        <f>SUM(OSRRefP22_10x_0)</f>
        <v>53878.010000000009</v>
      </c>
      <c r="Q66" s="2"/>
      <c r="R66" s="6">
        <f t="shared" si="16"/>
        <v>0.24110052043478461</v>
      </c>
      <c r="S66" s="2"/>
      <c r="T66" s="2">
        <f>SUM(OSRRefT22_10x_0)</f>
        <v>50950</v>
      </c>
      <c r="U66" s="2"/>
      <c r="V66" s="6">
        <f t="shared" si="17"/>
        <v>0.12727000224814528</v>
      </c>
      <c r="W66" s="2"/>
      <c r="X66" s="2">
        <f t="shared" si="18"/>
        <v>2928.0100000000093</v>
      </c>
      <c r="Y66" s="2"/>
      <c r="Z66" s="6">
        <f t="shared" si="19"/>
        <v>5.7468302257115002E-2</v>
      </c>
    </row>
    <row r="67" spans="1:26" s="70" customFormat="1" ht="15" hidden="1" customHeight="1" outlineLevel="2" x14ac:dyDescent="0.25">
      <c r="A67" s="25"/>
      <c r="B67" s="12" t="str">
        <f>CONCATENATE("          ","6234"," - ","EXPENDABLE SUPPLIES &amp; EQUIPMEN")</f>
        <v xml:space="preserve">          6234 - EXPENDABLE SUPPLIES &amp; EQUIPMEN</v>
      </c>
      <c r="C67" s="12"/>
      <c r="D67" s="8"/>
      <c r="E67" s="3"/>
      <c r="F67" s="7">
        <f t="shared" si="12"/>
        <v>0</v>
      </c>
      <c r="G67" s="3"/>
      <c r="H67" s="8"/>
      <c r="I67" s="3"/>
      <c r="J67" s="7">
        <f t="shared" si="13"/>
        <v>0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4993.3100000000004</v>
      </c>
      <c r="Q67" s="3"/>
      <c r="R67" s="7">
        <f t="shared" si="16"/>
        <v>2.2344730989363085E-2</v>
      </c>
      <c r="S67" s="3"/>
      <c r="T67" s="8"/>
      <c r="U67" s="3"/>
      <c r="V67" s="7">
        <f t="shared" si="17"/>
        <v>0</v>
      </c>
      <c r="W67" s="3"/>
      <c r="X67" s="8">
        <f t="shared" si="18"/>
        <v>4993.3100000000004</v>
      </c>
      <c r="Y67" s="3"/>
      <c r="Z67" s="7">
        <f t="shared" si="19"/>
        <v>0</v>
      </c>
    </row>
    <row r="68" spans="1:26" s="70" customFormat="1" ht="15" hidden="1" customHeight="1" outlineLevel="2" x14ac:dyDescent="0.25">
      <c r="A68" s="25"/>
      <c r="B68" s="12" t="str">
        <f>CONCATENATE("          ","6241"," - ","OFFICE EXPENSE")</f>
        <v xml:space="preserve">          6241 - OFFICE EXPENSE</v>
      </c>
      <c r="C68" s="12"/>
      <c r="D68" s="8">
        <v>14.95</v>
      </c>
      <c r="E68" s="3"/>
      <c r="F68" s="7">
        <f t="shared" si="12"/>
        <v>5.2521469687734389E-4</v>
      </c>
      <c r="G68" s="3"/>
      <c r="H68" s="8"/>
      <c r="I68" s="3"/>
      <c r="J68" s="7">
        <f t="shared" si="13"/>
        <v>0</v>
      </c>
      <c r="K68" s="3"/>
      <c r="L68" s="8">
        <f t="shared" si="14"/>
        <v>14.95</v>
      </c>
      <c r="M68" s="3"/>
      <c r="N68" s="7">
        <f t="shared" si="15"/>
        <v>0</v>
      </c>
      <c r="O68" s="12"/>
      <c r="P68" s="8">
        <v>11023.3</v>
      </c>
      <c r="Q68" s="3"/>
      <c r="R68" s="7">
        <f t="shared" si="16"/>
        <v>4.9328536204450768E-2</v>
      </c>
      <c r="S68" s="3"/>
      <c r="T68" s="8">
        <v>50</v>
      </c>
      <c r="U68" s="3"/>
      <c r="V68" s="7">
        <f t="shared" si="17"/>
        <v>1.2489696000799339E-4</v>
      </c>
      <c r="W68" s="3"/>
      <c r="X68" s="8">
        <f t="shared" si="18"/>
        <v>10973.3</v>
      </c>
      <c r="Y68" s="3"/>
      <c r="Z68" s="7">
        <f t="shared" si="19"/>
        <v>219.46599999999998</v>
      </c>
    </row>
    <row r="69" spans="1:26" s="70" customFormat="1" ht="15" hidden="1" customHeight="1" outlineLevel="2" x14ac:dyDescent="0.25">
      <c r="A69" s="25"/>
      <c r="B69" s="12" t="str">
        <f>CONCATENATE("          ","6243"," - ","PAPER SUPPLIES")</f>
        <v xml:space="preserve">          6243 - PAPER SUPPLIES</v>
      </c>
      <c r="C69" s="12"/>
      <c r="D69" s="8">
        <v>2845.58</v>
      </c>
      <c r="E69" s="3"/>
      <c r="F69" s="7">
        <f t="shared" si="12"/>
        <v>9.9969260009380084E-2</v>
      </c>
      <c r="G69" s="3"/>
      <c r="H69" s="8">
        <v>2800</v>
      </c>
      <c r="I69" s="3"/>
      <c r="J69" s="7">
        <f t="shared" si="13"/>
        <v>5.9574468085106386E-2</v>
      </c>
      <c r="K69" s="3"/>
      <c r="L69" s="8">
        <f t="shared" si="14"/>
        <v>45.579999999999927</v>
      </c>
      <c r="M69" s="3"/>
      <c r="N69" s="7">
        <f t="shared" si="15"/>
        <v>1.6278571428571403E-2</v>
      </c>
      <c r="O69" s="12"/>
      <c r="P69" s="8">
        <v>10090.94</v>
      </c>
      <c r="Q69" s="3"/>
      <c r="R69" s="7">
        <f t="shared" si="16"/>
        <v>4.5156287058044364E-2</v>
      </c>
      <c r="S69" s="3"/>
      <c r="T69" s="8">
        <v>37350</v>
      </c>
      <c r="U69" s="3"/>
      <c r="V69" s="7">
        <f t="shared" si="17"/>
        <v>9.3298029125971071E-2</v>
      </c>
      <c r="W69" s="3"/>
      <c r="X69" s="8">
        <f t="shared" si="18"/>
        <v>-27259.059999999998</v>
      </c>
      <c r="Y69" s="3"/>
      <c r="Z69" s="7">
        <f t="shared" si="19"/>
        <v>-0.72982757697456491</v>
      </c>
    </row>
    <row r="70" spans="1:26" s="70" customFormat="1" ht="15" hidden="1" customHeight="1" outlineLevel="2" x14ac:dyDescent="0.25">
      <c r="A70" s="25"/>
      <c r="B70" s="12" t="str">
        <f>CONCATENATE("          ","6245"," - ","PRINTING")</f>
        <v xml:space="preserve">          6245 - PRINTING</v>
      </c>
      <c r="C70" s="12"/>
      <c r="D70" s="8">
        <v>4762.72</v>
      </c>
      <c r="E70" s="3"/>
      <c r="F70" s="7">
        <f t="shared" si="12"/>
        <v>0.16732110642887382</v>
      </c>
      <c r="G70" s="3"/>
      <c r="H70" s="8">
        <v>2300</v>
      </c>
      <c r="I70" s="3"/>
      <c r="J70" s="7">
        <f t="shared" si="13"/>
        <v>4.8936170212765959E-2</v>
      </c>
      <c r="K70" s="3"/>
      <c r="L70" s="8">
        <f t="shared" si="14"/>
        <v>2462.7200000000003</v>
      </c>
      <c r="M70" s="3"/>
      <c r="N70" s="7">
        <f t="shared" si="15"/>
        <v>1.0707478260869567</v>
      </c>
      <c r="O70" s="12"/>
      <c r="P70" s="8">
        <v>10049.41</v>
      </c>
      <c r="Q70" s="3"/>
      <c r="R70" s="7">
        <f t="shared" si="16"/>
        <v>4.4970443063181591E-2</v>
      </c>
      <c r="S70" s="3"/>
      <c r="T70" s="8">
        <v>10345</v>
      </c>
      <c r="U70" s="3"/>
      <c r="V70" s="7">
        <f t="shared" si="17"/>
        <v>2.5841181025653834E-2</v>
      </c>
      <c r="W70" s="3"/>
      <c r="X70" s="8">
        <f t="shared" si="18"/>
        <v>-295.59000000000015</v>
      </c>
      <c r="Y70" s="3"/>
      <c r="Z70" s="7">
        <f t="shared" si="19"/>
        <v>-2.8573223779603689E-2</v>
      </c>
    </row>
    <row r="71" spans="1:26" s="70" customFormat="1" ht="15" hidden="1" customHeight="1" outlineLevel="2" x14ac:dyDescent="0.25">
      <c r="A71" s="25"/>
      <c r="B71" s="12" t="str">
        <f>CONCATENATE("          ","6247"," - ","STORE SUPPLIES")</f>
        <v xml:space="preserve">          6247 - STORE SUPPLIES</v>
      </c>
      <c r="C71" s="12"/>
      <c r="D71" s="8">
        <v>2488.7600000000002</v>
      </c>
      <c r="E71" s="3"/>
      <c r="F71" s="7">
        <f t="shared" si="12"/>
        <v>8.7433667491669476E-2</v>
      </c>
      <c r="G71" s="3"/>
      <c r="H71" s="8">
        <v>400</v>
      </c>
      <c r="I71" s="3"/>
      <c r="J71" s="7">
        <f t="shared" si="13"/>
        <v>8.5106382978723406E-3</v>
      </c>
      <c r="K71" s="3"/>
      <c r="L71" s="8">
        <f t="shared" si="14"/>
        <v>2088.7600000000002</v>
      </c>
      <c r="M71" s="3"/>
      <c r="N71" s="7">
        <f t="shared" si="15"/>
        <v>5.2219000000000007</v>
      </c>
      <c r="O71" s="12"/>
      <c r="P71" s="8">
        <v>17721.05</v>
      </c>
      <c r="Q71" s="3"/>
      <c r="R71" s="7">
        <f t="shared" si="16"/>
        <v>7.930052311974474E-2</v>
      </c>
      <c r="S71" s="3"/>
      <c r="T71" s="8">
        <v>3205</v>
      </c>
      <c r="U71" s="3"/>
      <c r="V71" s="7">
        <f t="shared" si="17"/>
        <v>8.0058951365123768E-3</v>
      </c>
      <c r="W71" s="3"/>
      <c r="X71" s="8">
        <f t="shared" si="18"/>
        <v>14516.05</v>
      </c>
      <c r="Y71" s="3"/>
      <c r="Z71" s="7">
        <f t="shared" si="19"/>
        <v>4.5291887675507017</v>
      </c>
    </row>
    <row r="72" spans="1:26" s="69" customFormat="1" ht="15" customHeight="1" outlineLevel="1" collapsed="1" x14ac:dyDescent="0.25">
      <c r="A72" s="26"/>
      <c r="B72" s="14" t="str">
        <f>CONCATENATE("     ","Telephone/Data Lines                              ")</f>
        <v xml:space="preserve">     Telephone/Data Lines                              </v>
      </c>
      <c r="C72" s="14"/>
      <c r="D72" s="2">
        <f>SUM(OSRRefD22_11x_0)</f>
        <v>84.7</v>
      </c>
      <c r="E72" s="2"/>
      <c r="F72" s="6">
        <f t="shared" si="12"/>
        <v>2.9756310920074271E-3</v>
      </c>
      <c r="G72" s="2"/>
      <c r="H72" s="2">
        <f>SUM(OSRRefH22_11x_0)</f>
        <v>175</v>
      </c>
      <c r="I72" s="2"/>
      <c r="J72" s="6">
        <f t="shared" si="13"/>
        <v>3.7234042553191491E-3</v>
      </c>
      <c r="K72" s="2"/>
      <c r="L72" s="2">
        <f t="shared" si="14"/>
        <v>-90.3</v>
      </c>
      <c r="M72" s="2"/>
      <c r="N72" s="6">
        <f t="shared" si="15"/>
        <v>-0.51600000000000001</v>
      </c>
      <c r="O72" s="14"/>
      <c r="P72" s="2">
        <f>SUM(OSRRefP22_11x_0)</f>
        <v>1256.3</v>
      </c>
      <c r="Q72" s="2"/>
      <c r="R72" s="6">
        <f t="shared" si="16"/>
        <v>5.6218591559380133E-3</v>
      </c>
      <c r="S72" s="2"/>
      <c r="T72" s="2">
        <f>SUM(OSRRefT22_11x_0)</f>
        <v>1925</v>
      </c>
      <c r="U72" s="2"/>
      <c r="V72" s="6">
        <f t="shared" si="17"/>
        <v>4.8085329603077464E-3</v>
      </c>
      <c r="W72" s="2"/>
      <c r="X72" s="2">
        <f t="shared" si="18"/>
        <v>-668.7</v>
      </c>
      <c r="Y72" s="2"/>
      <c r="Z72" s="6">
        <f t="shared" si="19"/>
        <v>-0.34737662337662339</v>
      </c>
    </row>
    <row r="73" spans="1:26" s="70" customFormat="1" ht="15" hidden="1" customHeight="1" outlineLevel="2" x14ac:dyDescent="0.25">
      <c r="A73" s="25"/>
      <c r="B73" s="12" t="str">
        <f>CONCATENATE("          ","6309"," - ","TELEPHONE")</f>
        <v xml:space="preserve">          6309 - TELEPHONE</v>
      </c>
      <c r="C73" s="12"/>
      <c r="D73" s="8">
        <v>84.7</v>
      </c>
      <c r="E73" s="3"/>
      <c r="F73" s="7">
        <f t="shared" si="12"/>
        <v>2.9756310920074271E-3</v>
      </c>
      <c r="G73" s="3"/>
      <c r="H73" s="8">
        <v>175</v>
      </c>
      <c r="I73" s="3"/>
      <c r="J73" s="7">
        <f t="shared" si="13"/>
        <v>3.7234042553191491E-3</v>
      </c>
      <c r="K73" s="3"/>
      <c r="L73" s="8">
        <f t="shared" si="14"/>
        <v>-90.3</v>
      </c>
      <c r="M73" s="3"/>
      <c r="N73" s="7">
        <f t="shared" si="15"/>
        <v>-0.51600000000000001</v>
      </c>
      <c r="O73" s="12"/>
      <c r="P73" s="8">
        <v>1256.3</v>
      </c>
      <c r="Q73" s="3"/>
      <c r="R73" s="7">
        <f t="shared" si="16"/>
        <v>5.6218591559380133E-3</v>
      </c>
      <c r="S73" s="3"/>
      <c r="T73" s="8">
        <v>1925</v>
      </c>
      <c r="U73" s="3"/>
      <c r="V73" s="7">
        <f t="shared" si="17"/>
        <v>4.8085329603077464E-3</v>
      </c>
      <c r="W73" s="3"/>
      <c r="X73" s="8">
        <f t="shared" si="18"/>
        <v>-668.7</v>
      </c>
      <c r="Y73" s="3"/>
      <c r="Z73" s="7">
        <f t="shared" si="19"/>
        <v>-0.34737662337662339</v>
      </c>
    </row>
    <row r="74" spans="1:26" s="65" customFormat="1" ht="15" customHeight="1" x14ac:dyDescent="0.25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collapsed="1" x14ac:dyDescent="0.25">
      <c r="A75" s="11"/>
      <c r="B75" s="27" t="s">
        <v>291</v>
      </c>
      <c r="C75" s="11"/>
      <c r="D75" s="5">
        <f>SUM(OSRRefD25x_0)</f>
        <v>198.47</v>
      </c>
      <c r="E75" s="5"/>
      <c r="F75" s="13">
        <f>IF(D$12=0,0,D75/D$12)</f>
        <v>6.9725325009529398E-3</v>
      </c>
      <c r="G75" s="5"/>
      <c r="H75" s="5">
        <f>SUM(OSRRefH25x_0)</f>
        <v>0</v>
      </c>
      <c r="I75" s="5"/>
      <c r="J75" s="13">
        <f>IF(H$12=0,0,H75/H$12)</f>
        <v>0</v>
      </c>
      <c r="K75" s="5"/>
      <c r="L75" s="5">
        <f>+D75-H75</f>
        <v>198.47</v>
      </c>
      <c r="M75" s="5"/>
      <c r="N75" s="13">
        <f>IF(H75=0,0,L75/H75)</f>
        <v>0</v>
      </c>
      <c r="O75" s="11"/>
      <c r="P75" s="5">
        <f>SUM(OSRRefP25x_0)</f>
        <v>18394.45</v>
      </c>
      <c r="Q75" s="5"/>
      <c r="R75" s="13">
        <f>IF(P$12=0,0,P75/P$12)</f>
        <v>8.2313943445788421E-2</v>
      </c>
      <c r="S75" s="5"/>
      <c r="T75" s="5">
        <f>SUM(OSRRefT25x_0)</f>
        <v>33910</v>
      </c>
      <c r="U75" s="5"/>
      <c r="V75" s="13">
        <f>IF(T$12=0,0,T75/T$12)</f>
        <v>8.4705118277421124E-2</v>
      </c>
      <c r="W75" s="5"/>
      <c r="X75" s="5">
        <f>+P75-T75</f>
        <v>-15515.55</v>
      </c>
      <c r="Y75" s="5"/>
      <c r="Z75" s="13">
        <f>IF(T75=0,0,X75/T75)</f>
        <v>-0.45755086994986727</v>
      </c>
    </row>
    <row r="76" spans="1:26" s="70" customFormat="1" ht="15" hidden="1" customHeight="1" outlineLevel="1" x14ac:dyDescent="0.25">
      <c r="A76" s="42"/>
      <c r="B76" s="12" t="str">
        <f>CONCATENATE("          ","9150"," - ","MISC. INCOME")</f>
        <v xml:space="preserve">          9150 - MISC. INCOME</v>
      </c>
      <c r="C76" s="12"/>
      <c r="D76" s="3">
        <f>--198.47</f>
        <v>198.47</v>
      </c>
      <c r="E76" s="3"/>
      <c r="F76" s="20">
        <f>IF(D$12=0,0,D76/D$12)</f>
        <v>6.9725325009529398E-3</v>
      </c>
      <c r="G76" s="3"/>
      <c r="H76" s="3"/>
      <c r="I76" s="3"/>
      <c r="J76" s="20">
        <f>IF(H$12=0,0,H76/H$12)</f>
        <v>0</v>
      </c>
      <c r="K76" s="3"/>
      <c r="L76" s="3">
        <f>+D76-H76</f>
        <v>198.47</v>
      </c>
      <c r="M76" s="3"/>
      <c r="N76" s="20">
        <f>IF(H76=0,0,L76/H76)</f>
        <v>0</v>
      </c>
      <c r="O76" s="12"/>
      <c r="P76" s="3">
        <f>--18394.45</f>
        <v>18394.45</v>
      </c>
      <c r="Q76" s="3"/>
      <c r="R76" s="20">
        <f>IF(P$12=0,0,P76/P$12)</f>
        <v>8.2313943445788421E-2</v>
      </c>
      <c r="S76" s="3"/>
      <c r="T76" s="3">
        <v>33910</v>
      </c>
      <c r="U76" s="3"/>
      <c r="V76" s="20">
        <f>IF(T$12=0,0,T76/T$12)</f>
        <v>8.4705118277421124E-2</v>
      </c>
      <c r="W76" s="3"/>
      <c r="X76" s="3">
        <f>+P76-T76</f>
        <v>-15515.55</v>
      </c>
      <c r="Y76" s="3"/>
      <c r="Z76" s="20">
        <f>IF(T76=0,0,X76/T76)</f>
        <v>-0.45755086994986727</v>
      </c>
    </row>
    <row r="77" spans="1:26" ht="15" customHeight="1" x14ac:dyDescent="0.25">
      <c r="A77" s="10"/>
      <c r="B77" s="11"/>
      <c r="C77" s="11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O77" s="11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3" customFormat="1" ht="15" customHeight="1" x14ac:dyDescent="0.25">
      <c r="A78" s="11"/>
      <c r="B78" s="28" t="s">
        <v>292</v>
      </c>
      <c r="C78" s="28"/>
      <c r="D78" s="22">
        <f>+D23-D25+D75</f>
        <v>-292.77999999999997</v>
      </c>
      <c r="E78" s="15"/>
      <c r="F78" s="21">
        <f>IF(D$12=0,0,D78/D$12)</f>
        <v>-1.0285776518511622E-2</v>
      </c>
      <c r="G78" s="15"/>
      <c r="H78" s="22">
        <f>+H23-H25+H75</f>
        <v>15963.395024384605</v>
      </c>
      <c r="I78" s="15"/>
      <c r="J78" s="21">
        <f>IF(H$12=0,0,H78/H$12)</f>
        <v>0.33964670264648095</v>
      </c>
      <c r="K78" s="16"/>
      <c r="L78" s="22">
        <f>+D78-H78</f>
        <v>-16256.175024384605</v>
      </c>
      <c r="M78" s="16"/>
      <c r="N78" s="21">
        <f>IF(H78=0,0,L78/H78)</f>
        <v>-1.018340710077823</v>
      </c>
      <c r="O78" s="27"/>
      <c r="P78" s="22">
        <f>+P23-P25+P75</f>
        <v>-32374.479999999876</v>
      </c>
      <c r="Q78" s="15"/>
      <c r="R78" s="21">
        <f>IF(P$12=0,0,P78/P$12)</f>
        <v>-0.14487365024813451</v>
      </c>
      <c r="S78" s="15"/>
      <c r="T78" s="22">
        <f>+T23-T25+T75</f>
        <v>99950.718829922494</v>
      </c>
      <c r="U78" s="15"/>
      <c r="V78" s="21">
        <f>IF(T$12=0,0,T78/T$12)</f>
        <v>0.24967081864942045</v>
      </c>
      <c r="W78" s="16"/>
      <c r="X78" s="22">
        <f>+P78-T78</f>
        <v>-132325.19882992236</v>
      </c>
      <c r="Y78" s="16"/>
      <c r="Z78" s="21">
        <f>IF(T78=0,0,X78/T78)</f>
        <v>-1.3239044238900244</v>
      </c>
    </row>
    <row r="79" spans="1:26" ht="15" customHeight="1" x14ac:dyDescent="0.25">
      <c r="A79" s="10"/>
      <c r="B79" s="11"/>
      <c r="C79" s="10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25">
      <c r="A80" s="49"/>
      <c r="B80" s="11" t="s">
        <v>293</v>
      </c>
      <c r="C80" s="11"/>
      <c r="D80" s="5">
        <v>3032.73</v>
      </c>
      <c r="E80" s="5"/>
      <c r="F80" s="13">
        <f>IF(D$12=0,0,D80/D$12)</f>
        <v>0.10654410486025601</v>
      </c>
      <c r="G80" s="5"/>
      <c r="H80" s="5">
        <v>6161</v>
      </c>
      <c r="I80" s="5"/>
      <c r="J80" s="13">
        <f>IF(H$12=0,0,H80/H$12)</f>
        <v>0.13108510638297871</v>
      </c>
      <c r="K80" s="5"/>
      <c r="L80" s="5">
        <f>+D80-H80</f>
        <v>-3128.27</v>
      </c>
      <c r="M80" s="5"/>
      <c r="N80" s="13">
        <f>IF(H80=0,0,L80/H80)</f>
        <v>-0.50775361142671649</v>
      </c>
      <c r="O80" s="11"/>
      <c r="P80" s="5">
        <v>25123.360000000001</v>
      </c>
      <c r="Q80" s="5"/>
      <c r="R80" s="13">
        <f>IF(P$12=0,0,P80/P$12)</f>
        <v>0.11242536929390022</v>
      </c>
      <c r="S80" s="5"/>
      <c r="T80" s="5">
        <v>49627</v>
      </c>
      <c r="U80" s="5"/>
      <c r="V80" s="13">
        <f>IF(T$12=0,0,T80/T$12)</f>
        <v>0.12396522868633378</v>
      </c>
      <c r="W80" s="5"/>
      <c r="X80" s="5">
        <f>+P80-T80</f>
        <v>-24503.64</v>
      </c>
      <c r="Y80" s="5"/>
      <c r="Z80" s="13">
        <f>IF(T80=0,0,X80/T80)</f>
        <v>-0.49375622141173153</v>
      </c>
    </row>
    <row r="81" spans="1:26" ht="15" customHeight="1" x14ac:dyDescent="0.25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25">
      <c r="A82" s="11"/>
      <c r="B82" s="28" t="s">
        <v>294</v>
      </c>
      <c r="C82" s="28"/>
      <c r="D82" s="34">
        <f>+D78-D80</f>
        <v>-3325.51</v>
      </c>
      <c r="E82" s="15"/>
      <c r="F82" s="32">
        <f>IF(D$12=0,0,D82/D$12)</f>
        <v>-0.11682988137876764</v>
      </c>
      <c r="G82" s="15"/>
      <c r="H82" s="34">
        <f>+H78-H80</f>
        <v>9802.3950243846048</v>
      </c>
      <c r="I82" s="15"/>
      <c r="J82" s="32">
        <f>IF(H$12=0,0,H82/H$12)</f>
        <v>0.20856159626350224</v>
      </c>
      <c r="K82" s="16"/>
      <c r="L82" s="34">
        <f>D82-H82</f>
        <v>-13127.905024384605</v>
      </c>
      <c r="M82" s="16"/>
      <c r="N82" s="32">
        <f>IF(H82=0,0,L82/H82)</f>
        <v>-1.3392548445280368</v>
      </c>
      <c r="O82" s="27"/>
      <c r="P82" s="34">
        <f>+P78-P80</f>
        <v>-57497.83999999988</v>
      </c>
      <c r="Q82" s="15"/>
      <c r="R82" s="32">
        <f>IF(P$12=0,0,P82/P$12)</f>
        <v>-0.25729901954203477</v>
      </c>
      <c r="S82" s="15"/>
      <c r="T82" s="34">
        <f>+T78-T80</f>
        <v>50323.718829922494</v>
      </c>
      <c r="U82" s="15"/>
      <c r="V82" s="32">
        <f>IF(T$12=0,0,T82/T$12)</f>
        <v>0.1257055899630867</v>
      </c>
      <c r="W82" s="16"/>
      <c r="X82" s="34">
        <f>P82-T82</f>
        <v>-107821.55882992237</v>
      </c>
      <c r="Y82" s="16"/>
      <c r="Z82" s="32">
        <f>IF(T82=0,0,X82/T82)</f>
        <v>-2.142559439899971</v>
      </c>
    </row>
    <row r="83" spans="1:26" ht="15" customHeight="1" x14ac:dyDescent="0.25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ht="15" customHeight="1" x14ac:dyDescent="0.25">
      <c r="A84" s="10"/>
      <c r="B84" s="10"/>
      <c r="C84" s="10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25">
      <c r="A85" s="11"/>
      <c r="B85" s="28" t="s">
        <v>297</v>
      </c>
      <c r="C85" s="28"/>
      <c r="D85" s="30">
        <f>SUM(D82:D84)</f>
        <v>-3325.51</v>
      </c>
      <c r="E85" s="15"/>
      <c r="F85" s="33">
        <f>IF(D$12=0,0,D85/D$12)</f>
        <v>-0.11682988137876764</v>
      </c>
      <c r="G85" s="15"/>
      <c r="H85" s="30">
        <f>SUM(H82:H84)</f>
        <v>9802.3950243846048</v>
      </c>
      <c r="I85" s="15"/>
      <c r="J85" s="33">
        <f>IF(H$12=0,0,H85/H$12)</f>
        <v>0.20856159626350224</v>
      </c>
      <c r="K85" s="16"/>
      <c r="L85" s="30">
        <f>+D85-H85</f>
        <v>-13127.905024384605</v>
      </c>
      <c r="M85" s="16"/>
      <c r="N85" s="33">
        <f>IF(H85=0,0,L85/H85)</f>
        <v>-1.3392548445280368</v>
      </c>
      <c r="O85" s="27"/>
      <c r="P85" s="30">
        <f>SUM(P82:P84)</f>
        <v>-57497.83999999988</v>
      </c>
      <c r="Q85" s="15"/>
      <c r="R85" s="33">
        <f>IF(P$12=0,0,P85/P$12)</f>
        <v>-0.25729901954203477</v>
      </c>
      <c r="S85" s="15"/>
      <c r="T85" s="30">
        <f>SUM(T82:T84)</f>
        <v>50323.718829922494</v>
      </c>
      <c r="U85" s="15"/>
      <c r="V85" s="33">
        <f>IF(T$12=0,0,T85/T$12)</f>
        <v>0.1257055899630867</v>
      </c>
      <c r="W85" s="16"/>
      <c r="X85" s="30">
        <f>+P85-T85</f>
        <v>-107821.55882992237</v>
      </c>
      <c r="Y85" s="16"/>
      <c r="Z85" s="33">
        <f>IF(T85=0,0,X85/T85)</f>
        <v>-2.142559439899971</v>
      </c>
    </row>
    <row r="86" spans="1:26" ht="15" customHeight="1" x14ac:dyDescent="0.25">
      <c r="A86" s="10"/>
      <c r="C86" s="10"/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A87" s="10"/>
      <c r="B87" s="54">
        <v>44727.874527581022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25">
      <c r="A88" s="10"/>
      <c r="B88" s="50" t="s">
        <v>298</v>
      </c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25">
      <c r="A89" s="10"/>
      <c r="B89" s="58"/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  <row r="90" spans="1:26" ht="15" customHeight="1" x14ac:dyDescent="0.25">
      <c r="D90" s="18"/>
      <c r="E90" s="18"/>
      <c r="G90" s="18"/>
      <c r="H90" s="18"/>
      <c r="I90" s="18"/>
      <c r="J90" s="40"/>
      <c r="K90" s="18"/>
      <c r="L90" s="18"/>
      <c r="M90" s="18"/>
      <c r="P90" s="18"/>
      <c r="Q90" s="18"/>
      <c r="R90" s="40"/>
      <c r="S90" s="18"/>
      <c r="T90" s="18"/>
      <c r="U90" s="18"/>
      <c r="V90" s="40"/>
      <c r="W90" s="18"/>
      <c r="X9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BE1C6-F0D5-6DCF-E828-A686E8C13FEB}">
  <sheetPr>
    <tabColor rgb="FFFFC00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315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413886.58999999997</v>
      </c>
      <c r="E12" s="5"/>
      <c r="F12" s="13"/>
      <c r="G12" s="5"/>
      <c r="H12" s="5">
        <f>SUM(OSRRefH13x_0)</f>
        <v>387930</v>
      </c>
      <c r="I12" s="5"/>
      <c r="J12" s="13"/>
      <c r="K12" s="5"/>
      <c r="L12" s="5">
        <f t="shared" ref="L12:L17" si="0">+D12-H12</f>
        <v>25956.589999999967</v>
      </c>
      <c r="M12" s="5"/>
      <c r="N12" s="13">
        <f t="shared" ref="N12:N17" si="1">IF(H12=0,0,L12/H12)</f>
        <v>6.6910499316886987E-2</v>
      </c>
      <c r="O12" s="11"/>
      <c r="P12" s="5">
        <f>SUM(OSRRefP13x_0)</f>
        <v>2484404.0700000003</v>
      </c>
      <c r="Q12" s="5"/>
      <c r="R12" s="13"/>
      <c r="S12" s="5"/>
      <c r="T12" s="5">
        <f>SUM(OSRRefT13x_0)</f>
        <v>2179823</v>
      </c>
      <c r="U12" s="5"/>
      <c r="V12" s="13"/>
      <c r="W12" s="5"/>
      <c r="X12" s="5">
        <f t="shared" ref="X12:X17" si="2">+P12-T12</f>
        <v>304581.0700000003</v>
      </c>
      <c r="Y12" s="5"/>
      <c r="Z12" s="13">
        <f t="shared" ref="Z12:Z17" si="3">IF(T12=0,0,X12/T12)</f>
        <v>0.13972743199791923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--401850.18</f>
        <v>401850.18</v>
      </c>
      <c r="E13" s="3"/>
      <c r="F13" s="20"/>
      <c r="G13" s="3"/>
      <c r="H13" s="3">
        <v>371978</v>
      </c>
      <c r="I13" s="3"/>
      <c r="J13" s="20"/>
      <c r="K13" s="3"/>
      <c r="L13" s="3">
        <f t="shared" si="0"/>
        <v>29872.179999999993</v>
      </c>
      <c r="M13" s="3"/>
      <c r="N13" s="20">
        <f t="shared" si="1"/>
        <v>8.0306308437595758E-2</v>
      </c>
      <c r="O13" s="12"/>
      <c r="P13" s="3">
        <f>--2350458.37</f>
        <v>2350458.37</v>
      </c>
      <c r="Q13" s="3"/>
      <c r="R13" s="20"/>
      <c r="S13" s="3"/>
      <c r="T13" s="3">
        <v>2037311</v>
      </c>
      <c r="U13" s="3"/>
      <c r="V13" s="20"/>
      <c r="W13" s="3"/>
      <c r="X13" s="3">
        <f t="shared" si="2"/>
        <v>313147.37000000011</v>
      </c>
      <c r="Y13" s="3"/>
      <c r="Z13" s="20">
        <f t="shared" si="3"/>
        <v>0.1537062186381952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--42952.79</f>
        <v>42952.79</v>
      </c>
      <c r="E14" s="3"/>
      <c r="F14" s="20"/>
      <c r="G14" s="3"/>
      <c r="H14" s="3">
        <v>15952</v>
      </c>
      <c r="I14" s="3"/>
      <c r="J14" s="20"/>
      <c r="K14" s="3"/>
      <c r="L14" s="3">
        <f t="shared" si="0"/>
        <v>27000.79</v>
      </c>
      <c r="M14" s="3"/>
      <c r="N14" s="20">
        <f t="shared" si="1"/>
        <v>1.6926272567703109</v>
      </c>
      <c r="O14" s="12"/>
      <c r="P14" s="3">
        <f>--668586.79</f>
        <v>668586.79</v>
      </c>
      <c r="Q14" s="3"/>
      <c r="R14" s="20"/>
      <c r="S14" s="3"/>
      <c r="T14" s="3">
        <v>142512</v>
      </c>
      <c r="U14" s="3"/>
      <c r="V14" s="20"/>
      <c r="W14" s="3"/>
      <c r="X14" s="3">
        <f t="shared" si="2"/>
        <v>526074.79</v>
      </c>
      <c r="Y14" s="3"/>
      <c r="Z14" s="20">
        <f t="shared" si="3"/>
        <v>3.6914420540024704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-30771.81</f>
        <v>-30771.81</v>
      </c>
      <c r="E15" s="3"/>
      <c r="F15" s="20"/>
      <c r="G15" s="3"/>
      <c r="H15" s="3"/>
      <c r="I15" s="3"/>
      <c r="J15" s="20"/>
      <c r="K15" s="3"/>
      <c r="L15" s="3">
        <f t="shared" si="0"/>
        <v>-30771.81</v>
      </c>
      <c r="M15" s="3"/>
      <c r="N15" s="20">
        <f t="shared" si="1"/>
        <v>0</v>
      </c>
      <c r="O15" s="12"/>
      <c r="P15" s="3">
        <f>-532091.76</f>
        <v>-532091.76</v>
      </c>
      <c r="Q15" s="3"/>
      <c r="R15" s="20"/>
      <c r="S15" s="3"/>
      <c r="T15" s="3"/>
      <c r="U15" s="3"/>
      <c r="V15" s="20"/>
      <c r="W15" s="3"/>
      <c r="X15" s="3">
        <f t="shared" si="2"/>
        <v>-532091.76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-144.57</f>
        <v>-144.57</v>
      </c>
      <c r="E17" s="3"/>
      <c r="F17" s="20"/>
      <c r="G17" s="3"/>
      <c r="H17" s="3"/>
      <c r="I17" s="3"/>
      <c r="J17" s="20"/>
      <c r="K17" s="3"/>
      <c r="L17" s="3">
        <f t="shared" si="0"/>
        <v>-144.57</v>
      </c>
      <c r="M17" s="3"/>
      <c r="N17" s="20">
        <f t="shared" si="1"/>
        <v>0</v>
      </c>
      <c r="O17" s="12"/>
      <c r="P17" s="3">
        <f>-1434.81</f>
        <v>-1434.81</v>
      </c>
      <c r="Q17" s="3"/>
      <c r="R17" s="20"/>
      <c r="S17" s="3"/>
      <c r="T17" s="3"/>
      <c r="U17" s="3"/>
      <c r="V17" s="20"/>
      <c r="W17" s="3"/>
      <c r="X17" s="3">
        <f t="shared" si="2"/>
        <v>-1434.81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340796.54</v>
      </c>
      <c r="E19" s="5"/>
      <c r="F19" s="13">
        <f t="shared" ref="F19:F29" si="4">IF(D$12=0,0,D19/D$12)</f>
        <v>0.82340560973478272</v>
      </c>
      <c r="G19" s="5"/>
      <c r="H19" s="5">
        <f>SUM(OSRRefH16x_0)</f>
        <v>347197</v>
      </c>
      <c r="I19" s="5"/>
      <c r="J19" s="13">
        <f t="shared" ref="J19:J29" si="5">IF(H$12=0,0,H19/H$12)</f>
        <v>0.8949990977753719</v>
      </c>
      <c r="K19" s="5"/>
      <c r="L19" s="5">
        <f t="shared" ref="L19:L29" si="6">+D19-H19</f>
        <v>-6400.460000000021</v>
      </c>
      <c r="M19" s="5"/>
      <c r="N19" s="13">
        <f t="shared" ref="N19:N29" si="7">IF(H19=0,0,L19/H19)</f>
        <v>-1.843466389398532E-2</v>
      </c>
      <c r="O19" s="11"/>
      <c r="P19" s="5">
        <f>SUM(OSRRefP16x_0)</f>
        <v>2109390.0799999996</v>
      </c>
      <c r="Q19" s="5"/>
      <c r="R19" s="13">
        <f t="shared" ref="R19:R29" si="8">IF(P$12=0,0,P19/P$12)</f>
        <v>0.84905273883245547</v>
      </c>
      <c r="S19" s="5"/>
      <c r="T19" s="5">
        <f>SUM(OSRRefT16x_0)</f>
        <v>1950938</v>
      </c>
      <c r="U19" s="5"/>
      <c r="V19" s="13">
        <f t="shared" ref="V19:V29" si="9">IF(T$12=0,0,T19/T$12)</f>
        <v>0.89499835537105532</v>
      </c>
      <c r="W19" s="5"/>
      <c r="X19" s="5">
        <f t="shared" ref="X19:X29" si="10">+P19-T19</f>
        <v>158452.07999999961</v>
      </c>
      <c r="Y19" s="5"/>
      <c r="Z19" s="13">
        <f t="shared" ref="Z19:Z29" si="11">IF(T19=0,0,X19/T19)</f>
        <v>8.1218408785927385E-2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465659.54</v>
      </c>
      <c r="E20" s="3"/>
      <c r="F20" s="20">
        <f t="shared" si="4"/>
        <v>1.1250897015049461</v>
      </c>
      <c r="G20" s="3"/>
      <c r="H20" s="3">
        <v>347197</v>
      </c>
      <c r="I20" s="3"/>
      <c r="J20" s="20">
        <f t="shared" si="5"/>
        <v>0.8949990977753719</v>
      </c>
      <c r="K20" s="3"/>
      <c r="L20" s="3">
        <f t="shared" si="6"/>
        <v>118462.53999999998</v>
      </c>
      <c r="M20" s="3"/>
      <c r="N20" s="20">
        <f t="shared" si="7"/>
        <v>0.34119689974279727</v>
      </c>
      <c r="O20" s="12"/>
      <c r="P20" s="3">
        <v>2223758.7599999998</v>
      </c>
      <c r="Q20" s="3"/>
      <c r="R20" s="20">
        <f t="shared" si="8"/>
        <v>0.89508739212458277</v>
      </c>
      <c r="S20" s="3"/>
      <c r="T20" s="3">
        <v>1950938</v>
      </c>
      <c r="U20" s="3"/>
      <c r="V20" s="20">
        <f t="shared" si="9"/>
        <v>0.89499835537105532</v>
      </c>
      <c r="W20" s="3"/>
      <c r="X20" s="3">
        <f t="shared" si="10"/>
        <v>272820.75999999978</v>
      </c>
      <c r="Y20" s="3"/>
      <c r="Z20" s="20">
        <f t="shared" si="11"/>
        <v>0.13984081503358886</v>
      </c>
    </row>
    <row r="21" spans="1:26" s="70" customFormat="1" ht="15" hidden="1" customHeight="1" outlineLevel="1" x14ac:dyDescent="0.25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>
        <v>-10189.709999999999</v>
      </c>
      <c r="E22" s="3"/>
      <c r="F22" s="20">
        <f t="shared" si="4"/>
        <v>-2.4619570303062971E-2</v>
      </c>
      <c r="G22" s="3"/>
      <c r="H22" s="3"/>
      <c r="I22" s="3"/>
      <c r="J22" s="20">
        <f t="shared" si="5"/>
        <v>0</v>
      </c>
      <c r="K22" s="3"/>
      <c r="L22" s="3">
        <f t="shared" si="6"/>
        <v>-10189.709999999999</v>
      </c>
      <c r="M22" s="3"/>
      <c r="N22" s="20">
        <f t="shared" si="7"/>
        <v>0</v>
      </c>
      <c r="O22" s="12"/>
      <c r="P22" s="3">
        <v>-120382.97</v>
      </c>
      <c r="Q22" s="3"/>
      <c r="R22" s="20">
        <f t="shared" si="8"/>
        <v>-4.8455471255124768E-2</v>
      </c>
      <c r="S22" s="3"/>
      <c r="T22" s="3"/>
      <c r="U22" s="3"/>
      <c r="V22" s="20">
        <f t="shared" si="9"/>
        <v>0</v>
      </c>
      <c r="W22" s="3"/>
      <c r="X22" s="3">
        <f t="shared" si="10"/>
        <v>-120382.97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","5200"," - ","PURCHASES OFFSET")</f>
        <v xml:space="preserve">          5200 - PURCHASES OFFSET</v>
      </c>
      <c r="C26" s="12"/>
      <c r="D26" s="3">
        <v>-465659.54</v>
      </c>
      <c r="E26" s="3"/>
      <c r="F26" s="20">
        <f t="shared" si="4"/>
        <v>-1.1250897015049461</v>
      </c>
      <c r="G26" s="3"/>
      <c r="H26" s="3"/>
      <c r="I26" s="3"/>
      <c r="J26" s="20">
        <f t="shared" si="5"/>
        <v>0</v>
      </c>
      <c r="K26" s="3"/>
      <c r="L26" s="3">
        <f t="shared" si="6"/>
        <v>-465659.54</v>
      </c>
      <c r="M26" s="3"/>
      <c r="N26" s="20">
        <f t="shared" si="7"/>
        <v>0</v>
      </c>
      <c r="O26" s="12"/>
      <c r="P26" s="3">
        <v>-2223961.88</v>
      </c>
      <c r="Q26" s="3"/>
      <c r="R26" s="20">
        <f t="shared" si="8"/>
        <v>-0.89516915016163201</v>
      </c>
      <c r="S26" s="3"/>
      <c r="T26" s="3"/>
      <c r="U26" s="3"/>
      <c r="V26" s="20">
        <f t="shared" si="9"/>
        <v>0</v>
      </c>
      <c r="W26" s="3"/>
      <c r="X26" s="3">
        <f t="shared" si="10"/>
        <v>-2223961.88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","5300"," - ","COG$ OFFSET")</f>
        <v xml:space="preserve">          5300 - COG$ OFFSET</v>
      </c>
      <c r="C27" s="12"/>
      <c r="D27" s="3">
        <v>350986.25</v>
      </c>
      <c r="E27" s="3"/>
      <c r="F27" s="20">
        <f t="shared" si="4"/>
        <v>0.84802518003784566</v>
      </c>
      <c r="G27" s="3"/>
      <c r="H27" s="3"/>
      <c r="I27" s="3"/>
      <c r="J27" s="20">
        <f t="shared" si="5"/>
        <v>0</v>
      </c>
      <c r="K27" s="3"/>
      <c r="L27" s="3">
        <f t="shared" si="6"/>
        <v>350986.25</v>
      </c>
      <c r="M27" s="3"/>
      <c r="N27" s="20">
        <f t="shared" si="7"/>
        <v>0</v>
      </c>
      <c r="O27" s="12"/>
      <c r="P27" s="3">
        <v>2229773.0499999998</v>
      </c>
      <c r="Q27" s="3"/>
      <c r="R27" s="20">
        <f t="shared" si="8"/>
        <v>0.8975082100875803</v>
      </c>
      <c r="S27" s="3"/>
      <c r="T27" s="3"/>
      <c r="U27" s="3"/>
      <c r="V27" s="20">
        <f t="shared" si="9"/>
        <v>0</v>
      </c>
      <c r="W27" s="3"/>
      <c r="X27" s="3">
        <f t="shared" si="10"/>
        <v>2229773.0499999998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","5500"," - ","FREIGHT-IN")</f>
        <v xml:space="preserve">          5500 - FREIGHT-IN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203.12</v>
      </c>
      <c r="Q28" s="3"/>
      <c r="R28" s="20">
        <f t="shared" si="8"/>
        <v>8.1758037049102066E-5</v>
      </c>
      <c r="S28" s="3"/>
      <c r="T28" s="3"/>
      <c r="U28" s="3"/>
      <c r="V28" s="20">
        <f t="shared" si="9"/>
        <v>0</v>
      </c>
      <c r="W28" s="3"/>
      <c r="X28" s="3">
        <f t="shared" si="10"/>
        <v>203.12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289</v>
      </c>
      <c r="C31" s="28"/>
      <c r="D31" s="22">
        <f>D12-D19</f>
        <v>73090.049999999988</v>
      </c>
      <c r="E31" s="15"/>
      <c r="F31" s="21">
        <f>IF(D$12=0,0,D31/D$12)</f>
        <v>0.17659439026521734</v>
      </c>
      <c r="G31" s="15"/>
      <c r="H31" s="22">
        <f>H12-H19</f>
        <v>40733</v>
      </c>
      <c r="I31" s="15"/>
      <c r="J31" s="21">
        <f>IF(H$12=0,0,H31/H$12)</f>
        <v>0.10500090222462816</v>
      </c>
      <c r="K31" s="16"/>
      <c r="L31" s="22">
        <f>+D31-H31</f>
        <v>32357.049999999988</v>
      </c>
      <c r="M31" s="16"/>
      <c r="N31" s="21">
        <f>IF(H31=0,0,L31/H31)</f>
        <v>0.79436943019173611</v>
      </c>
      <c r="O31" s="27"/>
      <c r="P31" s="22">
        <f>P12-P19</f>
        <v>375013.99000000069</v>
      </c>
      <c r="Q31" s="15"/>
      <c r="R31" s="21">
        <f>IF(P$12=0,0,P31/P$12)</f>
        <v>0.15094726116754456</v>
      </c>
      <c r="S31" s="15"/>
      <c r="T31" s="22">
        <f>T12-T19</f>
        <v>228885</v>
      </c>
      <c r="U31" s="15"/>
      <c r="V31" s="21">
        <f>IF(T$12=0,0,T31/T$12)</f>
        <v>0.10500164462894464</v>
      </c>
      <c r="W31" s="16"/>
      <c r="X31" s="22">
        <f>+P31-T31</f>
        <v>146128.99000000069</v>
      </c>
      <c r="Y31" s="16"/>
      <c r="Z31" s="21">
        <f>IF(T31=0,0,X31/T31)</f>
        <v>0.63843847346921245</v>
      </c>
    </row>
    <row r="32" spans="1:26" ht="15" customHeight="1" x14ac:dyDescent="0.25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25">
      <c r="A33" s="11"/>
      <c r="B33" s="27" t="s">
        <v>290</v>
      </c>
      <c r="C33" s="11"/>
      <c r="D33" s="23" cm="1">
        <f t="array" ref="D33">SUM(OSRRefD22x_0)</f>
        <v>17874.759999999998</v>
      </c>
      <c r="E33" s="23"/>
      <c r="F33" s="31">
        <f t="shared" ref="F33:F74" si="12">IF(D$12=0,0,D33/D$12)</f>
        <v>4.3187579476783727E-2</v>
      </c>
      <c r="G33" s="23"/>
      <c r="H33" s="23" cm="1">
        <f t="array" ref="H33">SUM(OSRRefH22x_0)</f>
        <v>15550.733476869998</v>
      </c>
      <c r="I33" s="23"/>
      <c r="J33" s="31">
        <f t="shared" ref="J33:J74" si="13">IF(H$12=0,0,H33/H$12)</f>
        <v>4.0086442081999324E-2</v>
      </c>
      <c r="K33" s="5"/>
      <c r="L33" s="23">
        <f t="shared" ref="L33:L74" si="14">+D33-H33</f>
        <v>2324.02652313</v>
      </c>
      <c r="M33" s="5"/>
      <c r="N33" s="31">
        <f t="shared" ref="N33:N74" si="15">IF(H33=0,0,L33/H33)</f>
        <v>0.14944803256944331</v>
      </c>
      <c r="O33" s="11"/>
      <c r="P33" s="23" cm="1">
        <f t="array" ref="P33">SUM(OSRRefP22x_0)</f>
        <v>171303.28</v>
      </c>
      <c r="Q33" s="23"/>
      <c r="R33" s="31">
        <f t="shared" ref="R33:R74" si="16">IF(P$12=0,0,P33/P$12)</f>
        <v>6.8951456837695477E-2</v>
      </c>
      <c r="S33" s="23"/>
      <c r="T33" s="23" cm="1">
        <f t="array" ref="T33">SUM(OSRRefT22x_0)</f>
        <v>175305.44969044</v>
      </c>
      <c r="U33" s="23"/>
      <c r="V33" s="31">
        <f t="shared" ref="V33:V74" si="17">IF(T$12=0,0,T33/T$12)</f>
        <v>8.0421873560578089E-2</v>
      </c>
      <c r="W33" s="5"/>
      <c r="X33" s="23">
        <f t="shared" ref="X33:X74" si="18">+P33-T33</f>
        <v>-4002.1696904400014</v>
      </c>
      <c r="Y33" s="5"/>
      <c r="Z33" s="31">
        <f t="shared" ref="Z33:Z74" si="19">IF(T33=0,0,X33/T33)</f>
        <v>-2.2829693529249441E-2</v>
      </c>
    </row>
    <row r="34" spans="1:26" s="69" customFormat="1" ht="15" customHeight="1" outlineLevel="1" collapsed="1" x14ac:dyDescent="0.25">
      <c r="A34" s="26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3621.6</v>
      </c>
      <c r="E34" s="2"/>
      <c r="F34" s="6">
        <f t="shared" si="12"/>
        <v>8.7502230985546069E-3</v>
      </c>
      <c r="G34" s="2"/>
      <c r="H34" s="2">
        <f>SUM(OSRRefH22_0x_0)</f>
        <v>2563.2229268699998</v>
      </c>
      <c r="I34" s="2"/>
      <c r="J34" s="6">
        <f t="shared" si="13"/>
        <v>6.6074367202072536E-3</v>
      </c>
      <c r="K34" s="2"/>
      <c r="L34" s="2">
        <f t="shared" si="14"/>
        <v>1058.3770731300001</v>
      </c>
      <c r="M34" s="2"/>
      <c r="N34" s="6">
        <f t="shared" si="15"/>
        <v>0.41290871037206445</v>
      </c>
      <c r="O34" s="14"/>
      <c r="P34" s="2">
        <f>SUM(OSRRefP22_0x_0)</f>
        <v>30787.950000000004</v>
      </c>
      <c r="Q34" s="2"/>
      <c r="R34" s="6">
        <f t="shared" si="16"/>
        <v>1.2392488956114132E-2</v>
      </c>
      <c r="S34" s="2"/>
      <c r="T34" s="2">
        <f>SUM(OSRRefT22_0x_0)</f>
        <v>31003.883090440002</v>
      </c>
      <c r="U34" s="2"/>
      <c r="V34" s="6">
        <f t="shared" si="17"/>
        <v>1.4223119533301559E-2</v>
      </c>
      <c r="W34" s="2"/>
      <c r="X34" s="2">
        <f t="shared" si="18"/>
        <v>-215.93309043999761</v>
      </c>
      <c r="Y34" s="2"/>
      <c r="Z34" s="6">
        <f t="shared" si="19"/>
        <v>-6.9647111560222673E-3</v>
      </c>
    </row>
    <row r="35" spans="1:26" s="70" customFormat="1" ht="15" hidden="1" customHeight="1" outlineLevel="2" x14ac:dyDescent="0.25">
      <c r="A35" s="25"/>
      <c r="B35" s="12" t="str">
        <f>CONCATENATE("          ","6111"," - ","F.I.C.A.")</f>
        <v xml:space="preserve">          6111 - F.I.C.A.</v>
      </c>
      <c r="C35" s="12"/>
      <c r="D35" s="8">
        <v>740.15</v>
      </c>
      <c r="E35" s="3"/>
      <c r="F35" s="7">
        <f t="shared" si="12"/>
        <v>1.7882918120154607E-3</v>
      </c>
      <c r="G35" s="3"/>
      <c r="H35" s="8">
        <v>457.37151956999998</v>
      </c>
      <c r="I35" s="3"/>
      <c r="J35" s="7">
        <f t="shared" si="13"/>
        <v>1.1790052833500889E-3</v>
      </c>
      <c r="K35" s="3"/>
      <c r="L35" s="8">
        <f t="shared" si="14"/>
        <v>282.77848043</v>
      </c>
      <c r="M35" s="3"/>
      <c r="N35" s="7">
        <f t="shared" si="15"/>
        <v>0.61826866853418316</v>
      </c>
      <c r="O35" s="12"/>
      <c r="P35" s="8">
        <v>6494.3</v>
      </c>
      <c r="Q35" s="3"/>
      <c r="R35" s="7">
        <f t="shared" si="16"/>
        <v>2.6140272745568314E-3</v>
      </c>
      <c r="S35" s="3"/>
      <c r="T35" s="8">
        <v>6267.2275148400004</v>
      </c>
      <c r="U35" s="3"/>
      <c r="V35" s="7">
        <f t="shared" si="17"/>
        <v>2.8751084445113205E-3</v>
      </c>
      <c r="W35" s="3"/>
      <c r="X35" s="8">
        <f t="shared" si="18"/>
        <v>227.07248515999981</v>
      </c>
      <c r="Y35" s="3"/>
      <c r="Z35" s="7">
        <f t="shared" si="19"/>
        <v>3.6231728403400221E-2</v>
      </c>
    </row>
    <row r="36" spans="1:26" s="70" customFormat="1" ht="15" hidden="1" customHeight="1" outlineLevel="2" x14ac:dyDescent="0.25">
      <c r="A36" s="25"/>
      <c r="B36" s="12" t="str">
        <f>CONCATENATE("          ","6112"," - ","COMPENSATION INSURANCE")</f>
        <v xml:space="preserve">          6112 - COMPENSATION INSURANCE</v>
      </c>
      <c r="C36" s="12"/>
      <c r="D36" s="8">
        <v>265.42</v>
      </c>
      <c r="E36" s="3"/>
      <c r="F36" s="7">
        <f t="shared" si="12"/>
        <v>6.4128678341571796E-4</v>
      </c>
      <c r="G36" s="3"/>
      <c r="H36" s="8">
        <v>160.46673240000001</v>
      </c>
      <c r="I36" s="3"/>
      <c r="J36" s="7">
        <f t="shared" si="13"/>
        <v>4.136486799164798E-4</v>
      </c>
      <c r="K36" s="3"/>
      <c r="L36" s="8">
        <f t="shared" si="14"/>
        <v>104.9532676</v>
      </c>
      <c r="M36" s="3"/>
      <c r="N36" s="7">
        <f t="shared" si="15"/>
        <v>0.6540500079379693</v>
      </c>
      <c r="O36" s="12"/>
      <c r="P36" s="8">
        <v>1712.32</v>
      </c>
      <c r="Q36" s="3"/>
      <c r="R36" s="7">
        <f t="shared" si="16"/>
        <v>6.8922765852657761E-4</v>
      </c>
      <c r="S36" s="3"/>
      <c r="T36" s="8">
        <v>1973.9832527999999</v>
      </c>
      <c r="U36" s="3"/>
      <c r="V36" s="7">
        <f t="shared" si="17"/>
        <v>9.0557043062670678E-4</v>
      </c>
      <c r="W36" s="3"/>
      <c r="X36" s="8">
        <f t="shared" si="18"/>
        <v>-261.66325280000001</v>
      </c>
      <c r="Y36" s="3"/>
      <c r="Z36" s="7">
        <f t="shared" si="19"/>
        <v>-0.1325559639013367</v>
      </c>
    </row>
    <row r="37" spans="1:26" s="70" customFormat="1" ht="15" hidden="1" customHeight="1" outlineLevel="2" x14ac:dyDescent="0.25">
      <c r="A37" s="25"/>
      <c r="B37" s="12" t="str">
        <f>CONCATENATE("          ","6113"," - ","GROUP INSURANCE")</f>
        <v xml:space="preserve">          6113 - GROUP INSURANCE</v>
      </c>
      <c r="C37" s="12"/>
      <c r="D37" s="8">
        <v>1540.43</v>
      </c>
      <c r="E37" s="3"/>
      <c r="F37" s="7">
        <f t="shared" si="12"/>
        <v>3.7218649678889093E-3</v>
      </c>
      <c r="G37" s="3"/>
      <c r="H37" s="8">
        <v>943.5</v>
      </c>
      <c r="I37" s="3"/>
      <c r="J37" s="7">
        <f t="shared" si="13"/>
        <v>2.4321398190395175E-3</v>
      </c>
      <c r="K37" s="3"/>
      <c r="L37" s="8">
        <f t="shared" si="14"/>
        <v>596.93000000000006</v>
      </c>
      <c r="M37" s="3"/>
      <c r="N37" s="7">
        <f t="shared" si="15"/>
        <v>0.63267620561738214</v>
      </c>
      <c r="O37" s="12"/>
      <c r="P37" s="8">
        <v>11447.32</v>
      </c>
      <c r="Q37" s="3"/>
      <c r="R37" s="7">
        <f t="shared" si="16"/>
        <v>4.607672374325163E-3</v>
      </c>
      <c r="S37" s="3"/>
      <c r="T37" s="8">
        <v>10990.5</v>
      </c>
      <c r="U37" s="3"/>
      <c r="V37" s="7">
        <f t="shared" si="17"/>
        <v>5.0419231286209934E-3</v>
      </c>
      <c r="W37" s="3"/>
      <c r="X37" s="8">
        <f t="shared" si="18"/>
        <v>456.81999999999971</v>
      </c>
      <c r="Y37" s="3"/>
      <c r="Z37" s="7">
        <f t="shared" si="19"/>
        <v>4.1564987944133547E-2</v>
      </c>
    </row>
    <row r="38" spans="1:26" s="70" customFormat="1" ht="15" hidden="1" customHeight="1" outlineLevel="2" x14ac:dyDescent="0.25">
      <c r="A38" s="25"/>
      <c r="B38" s="12" t="str">
        <f>CONCATENATE("          ","6114"," - ","STATE UNEMPLOYMENT INSURANCE")</f>
        <v xml:space="preserve">          6114 - STATE UNEMPLOYMENT INSURANCE</v>
      </c>
      <c r="C38" s="12"/>
      <c r="D38" s="8">
        <v>46.63</v>
      </c>
      <c r="E38" s="3"/>
      <c r="F38" s="7">
        <f t="shared" si="12"/>
        <v>1.1266371302341545E-4</v>
      </c>
      <c r="G38" s="3"/>
      <c r="H38" s="8">
        <v>21.601290899999999</v>
      </c>
      <c r="I38" s="3"/>
      <c r="J38" s="7">
        <f t="shared" si="13"/>
        <v>5.5683476142603042E-5</v>
      </c>
      <c r="K38" s="3"/>
      <c r="L38" s="8">
        <f t="shared" si="14"/>
        <v>25.028709100000004</v>
      </c>
      <c r="M38" s="3"/>
      <c r="N38" s="7">
        <f t="shared" si="15"/>
        <v>1.1586672859444713</v>
      </c>
      <c r="O38" s="12"/>
      <c r="P38" s="8">
        <v>301.5</v>
      </c>
      <c r="Q38" s="3"/>
      <c r="R38" s="7">
        <f t="shared" si="16"/>
        <v>1.2135707055092691E-4</v>
      </c>
      <c r="S38" s="3"/>
      <c r="T38" s="8">
        <v>265.72851480000003</v>
      </c>
      <c r="U38" s="3"/>
      <c r="V38" s="7">
        <f t="shared" si="17"/>
        <v>1.2190371181513363E-4</v>
      </c>
      <c r="W38" s="3"/>
      <c r="X38" s="8">
        <f t="shared" si="18"/>
        <v>35.771485199999972</v>
      </c>
      <c r="Y38" s="3"/>
      <c r="Z38" s="7">
        <f t="shared" si="19"/>
        <v>0.13461666026667593</v>
      </c>
    </row>
    <row r="39" spans="1:26" s="70" customFormat="1" ht="15" hidden="1" customHeight="1" outlineLevel="2" x14ac:dyDescent="0.25">
      <c r="A39" s="25"/>
      <c r="B39" s="12" t="str">
        <f>CONCATENATE("          ","6115"," - ","P.E.R.S.")</f>
        <v xml:space="preserve">          6115 - P.E.R.S.</v>
      </c>
      <c r="C39" s="12"/>
      <c r="D39" s="8">
        <v>123.87</v>
      </c>
      <c r="E39" s="3"/>
      <c r="F39" s="7">
        <f t="shared" si="12"/>
        <v>2.9928488381322045E-4</v>
      </c>
      <c r="G39" s="3"/>
      <c r="H39" s="8">
        <v>202.166134</v>
      </c>
      <c r="I39" s="3"/>
      <c r="J39" s="7">
        <f t="shared" si="13"/>
        <v>5.2114075735313074E-4</v>
      </c>
      <c r="K39" s="3"/>
      <c r="L39" s="8">
        <f t="shared" si="14"/>
        <v>-78.296133999999995</v>
      </c>
      <c r="M39" s="3"/>
      <c r="N39" s="7">
        <f t="shared" si="15"/>
        <v>-0.38728610203329106</v>
      </c>
      <c r="O39" s="12"/>
      <c r="P39" s="8">
        <v>1342.16</v>
      </c>
      <c r="Q39" s="3"/>
      <c r="R39" s="7">
        <f t="shared" si="16"/>
        <v>5.402341817931412E-4</v>
      </c>
      <c r="S39" s="3"/>
      <c r="T39" s="8">
        <v>2425.9936080000002</v>
      </c>
      <c r="U39" s="3"/>
      <c r="V39" s="7">
        <f t="shared" si="17"/>
        <v>1.1129314664539277E-3</v>
      </c>
      <c r="W39" s="3"/>
      <c r="X39" s="8">
        <f t="shared" si="18"/>
        <v>-1083.8336080000001</v>
      </c>
      <c r="Y39" s="3"/>
      <c r="Z39" s="7">
        <f t="shared" si="19"/>
        <v>-0.44675864125360054</v>
      </c>
    </row>
    <row r="40" spans="1:26" s="70" customFormat="1" ht="15" hidden="1" customHeight="1" outlineLevel="2" x14ac:dyDescent="0.25">
      <c r="A40" s="25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25">
      <c r="A41" s="25"/>
      <c r="B41" s="12" t="str">
        <f>CONCATENATE("          ","6117"," - ","RETIREMENT STAFF HOURLY")</f>
        <v xml:space="preserve">          6117 - RETIREMENT STAFF HOURLY</v>
      </c>
      <c r="C41" s="12"/>
      <c r="D41" s="8">
        <v>206.33</v>
      </c>
      <c r="E41" s="3"/>
      <c r="F41" s="7">
        <f t="shared" si="12"/>
        <v>4.9851820519239344E-4</v>
      </c>
      <c r="G41" s="3"/>
      <c r="H41" s="8"/>
      <c r="I41" s="3"/>
      <c r="J41" s="7">
        <f t="shared" si="13"/>
        <v>0</v>
      </c>
      <c r="K41" s="3"/>
      <c r="L41" s="8">
        <f t="shared" si="14"/>
        <v>206.33</v>
      </c>
      <c r="M41" s="3"/>
      <c r="N41" s="7">
        <f t="shared" si="15"/>
        <v>0</v>
      </c>
      <c r="O41" s="12"/>
      <c r="P41" s="8">
        <v>366.45</v>
      </c>
      <c r="Q41" s="3"/>
      <c r="R41" s="7">
        <f t="shared" si="16"/>
        <v>1.4750016087358928E-4</v>
      </c>
      <c r="S41" s="3"/>
      <c r="T41" s="8"/>
      <c r="U41" s="3"/>
      <c r="V41" s="7">
        <f t="shared" si="17"/>
        <v>0</v>
      </c>
      <c r="W41" s="3"/>
      <c r="X41" s="8">
        <f t="shared" si="18"/>
        <v>366.45</v>
      </c>
      <c r="Y41" s="3"/>
      <c r="Z41" s="7">
        <f t="shared" si="19"/>
        <v>0</v>
      </c>
    </row>
    <row r="42" spans="1:26" s="70" customFormat="1" ht="15" hidden="1" customHeight="1" outlineLevel="2" x14ac:dyDescent="0.25">
      <c r="A42" s="25"/>
      <c r="B42" s="12" t="str">
        <f>CONCATENATE("          ","6118"," - ","VACATION")</f>
        <v xml:space="preserve">          6118 - VACATION</v>
      </c>
      <c r="C42" s="12"/>
      <c r="D42" s="8">
        <v>197.61</v>
      </c>
      <c r="E42" s="3"/>
      <c r="F42" s="7">
        <f t="shared" si="12"/>
        <v>4.7744963179406229E-4</v>
      </c>
      <c r="G42" s="3"/>
      <c r="H42" s="8">
        <v>179.29106999999999</v>
      </c>
      <c r="I42" s="3"/>
      <c r="J42" s="7">
        <f t="shared" si="13"/>
        <v>4.6217376846338252E-4</v>
      </c>
      <c r="K42" s="3"/>
      <c r="L42" s="8">
        <f t="shared" si="14"/>
        <v>18.318930000000023</v>
      </c>
      <c r="M42" s="3"/>
      <c r="N42" s="7">
        <f t="shared" si="15"/>
        <v>0.10217424660358167</v>
      </c>
      <c r="O42" s="12"/>
      <c r="P42" s="8">
        <v>3128.95</v>
      </c>
      <c r="Q42" s="3"/>
      <c r="R42" s="7">
        <f t="shared" si="16"/>
        <v>1.2594368354902909E-3</v>
      </c>
      <c r="S42" s="3"/>
      <c r="T42" s="8">
        <v>2151.4928399999999</v>
      </c>
      <c r="U42" s="3"/>
      <c r="V42" s="7">
        <f t="shared" si="17"/>
        <v>9.8700345853768847E-4</v>
      </c>
      <c r="W42" s="3"/>
      <c r="X42" s="8">
        <f t="shared" si="18"/>
        <v>977.45715999999993</v>
      </c>
      <c r="Y42" s="3"/>
      <c r="Z42" s="7">
        <f t="shared" si="19"/>
        <v>0.45431578568488284</v>
      </c>
    </row>
    <row r="43" spans="1:26" s="70" customFormat="1" ht="15" hidden="1" customHeight="1" outlineLevel="2" x14ac:dyDescent="0.25">
      <c r="A43" s="25"/>
      <c r="B43" s="12" t="str">
        <f>CONCATENATE("          ","6119"," - ","SICK LEAVE")</f>
        <v xml:space="preserve">          6119 - SICK LEAVE</v>
      </c>
      <c r="C43" s="12"/>
      <c r="D43" s="8">
        <v>252.39</v>
      </c>
      <c r="E43" s="3"/>
      <c r="F43" s="7">
        <f t="shared" si="12"/>
        <v>6.0980472935834914E-4</v>
      </c>
      <c r="G43" s="3"/>
      <c r="H43" s="8">
        <v>248.82617999999999</v>
      </c>
      <c r="I43" s="3"/>
      <c r="J43" s="7">
        <f t="shared" si="13"/>
        <v>6.4142030778748741E-4</v>
      </c>
      <c r="K43" s="3"/>
      <c r="L43" s="8">
        <f t="shared" si="14"/>
        <v>3.5638199999999927</v>
      </c>
      <c r="M43" s="3"/>
      <c r="N43" s="7">
        <f t="shared" si="15"/>
        <v>1.4322528280585237E-2</v>
      </c>
      <c r="O43" s="12"/>
      <c r="P43" s="8">
        <v>3922.38</v>
      </c>
      <c r="Q43" s="3"/>
      <c r="R43" s="7">
        <f t="shared" si="16"/>
        <v>1.5788011488807453E-3</v>
      </c>
      <c r="S43" s="3"/>
      <c r="T43" s="8">
        <v>3078.9573599999999</v>
      </c>
      <c r="U43" s="3"/>
      <c r="V43" s="7">
        <f t="shared" si="17"/>
        <v>1.4124804445131553E-3</v>
      </c>
      <c r="W43" s="3"/>
      <c r="X43" s="8">
        <f t="shared" si="18"/>
        <v>843.42264000000023</v>
      </c>
      <c r="Y43" s="3"/>
      <c r="Z43" s="7">
        <f t="shared" si="19"/>
        <v>0.27393125054515216</v>
      </c>
    </row>
    <row r="44" spans="1:26" s="70" customFormat="1" ht="15" hidden="1" customHeight="1" outlineLevel="2" x14ac:dyDescent="0.25">
      <c r="A44" s="25"/>
      <c r="B44" s="12" t="str">
        <f>CONCATENATE("          ","6156"," - ","EMPLOYEE MEALS")</f>
        <v xml:space="preserve">          6156 - EMPLOYEE MEALS</v>
      </c>
      <c r="C44" s="12"/>
      <c r="D44" s="8">
        <v>248.77</v>
      </c>
      <c r="E44" s="3"/>
      <c r="F44" s="7">
        <f t="shared" si="12"/>
        <v>6.0105837205307868E-4</v>
      </c>
      <c r="G44" s="3"/>
      <c r="H44" s="8">
        <v>350</v>
      </c>
      <c r="I44" s="3"/>
      <c r="J44" s="7">
        <f t="shared" si="13"/>
        <v>9.0222462815456393E-4</v>
      </c>
      <c r="K44" s="3"/>
      <c r="L44" s="8">
        <f t="shared" si="14"/>
        <v>-101.22999999999999</v>
      </c>
      <c r="M44" s="3"/>
      <c r="N44" s="7">
        <f t="shared" si="15"/>
        <v>-0.28922857142857139</v>
      </c>
      <c r="O44" s="12"/>
      <c r="P44" s="8">
        <v>2072.5700000000002</v>
      </c>
      <c r="Q44" s="3"/>
      <c r="R44" s="7">
        <f t="shared" si="16"/>
        <v>8.3423225111686435E-4</v>
      </c>
      <c r="S44" s="3"/>
      <c r="T44" s="8">
        <v>3850</v>
      </c>
      <c r="U44" s="3"/>
      <c r="V44" s="7">
        <f t="shared" si="17"/>
        <v>1.766198448222631E-3</v>
      </c>
      <c r="W44" s="3"/>
      <c r="X44" s="8">
        <f t="shared" si="18"/>
        <v>-1777.4299999999998</v>
      </c>
      <c r="Y44" s="3"/>
      <c r="Z44" s="7">
        <f t="shared" si="19"/>
        <v>-0.46167012987012984</v>
      </c>
    </row>
    <row r="45" spans="1:26" s="69" customFormat="1" ht="15" customHeight="1" outlineLevel="1" collapsed="1" x14ac:dyDescent="0.25">
      <c r="A45" s="26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11558.89</v>
      </c>
      <c r="E45" s="2"/>
      <c r="F45" s="6">
        <f t="shared" si="12"/>
        <v>2.7927674583513324E-2</v>
      </c>
      <c r="G45" s="2"/>
      <c r="H45" s="2">
        <f>SUM(OSRRefH22_1x_0)</f>
        <v>9987.5105499999991</v>
      </c>
      <c r="I45" s="2"/>
      <c r="J45" s="6">
        <f t="shared" si="13"/>
        <v>2.5745651406181524E-2</v>
      </c>
      <c r="K45" s="2"/>
      <c r="L45" s="2">
        <f t="shared" si="14"/>
        <v>1571.3794500000004</v>
      </c>
      <c r="M45" s="2"/>
      <c r="N45" s="6">
        <f t="shared" si="15"/>
        <v>0.15733444707099714</v>
      </c>
      <c r="O45" s="14"/>
      <c r="P45" s="2">
        <f>SUM(OSRRefP22_1x_0)</f>
        <v>117394.45</v>
      </c>
      <c r="Q45" s="2"/>
      <c r="R45" s="6">
        <f t="shared" si="16"/>
        <v>4.725255904125128E-2</v>
      </c>
      <c r="S45" s="2"/>
      <c r="T45" s="2">
        <f>SUM(OSRRefT22_1x_0)</f>
        <v>122951.56659999999</v>
      </c>
      <c r="U45" s="2"/>
      <c r="V45" s="6">
        <f t="shared" si="17"/>
        <v>5.6404380814405568E-2</v>
      </c>
      <c r="W45" s="2"/>
      <c r="X45" s="2">
        <f t="shared" si="18"/>
        <v>-5557.1165999999939</v>
      </c>
      <c r="Y45" s="2"/>
      <c r="Z45" s="6">
        <f t="shared" si="19"/>
        <v>-4.5197607103934161E-2</v>
      </c>
    </row>
    <row r="46" spans="1:26" s="70" customFormat="1" ht="15" hidden="1" customHeight="1" outlineLevel="2" x14ac:dyDescent="0.25">
      <c r="A46" s="25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25">
      <c r="A47" s="25"/>
      <c r="B47" s="12" t="str">
        <f>CONCATENATE("          ","6002"," - ","STAFF SALARIES")</f>
        <v xml:space="preserve">          6002 - STAFF SALARIES</v>
      </c>
      <c r="C47" s="12"/>
      <c r="D47" s="8">
        <v>1632</v>
      </c>
      <c r="E47" s="3"/>
      <c r="F47" s="7">
        <f t="shared" si="12"/>
        <v>3.9431091497794122E-3</v>
      </c>
      <c r="G47" s="3"/>
      <c r="H47" s="8">
        <v>2233.2305500000002</v>
      </c>
      <c r="I47" s="3"/>
      <c r="J47" s="7">
        <f t="shared" si="13"/>
        <v>5.7567874358776076E-3</v>
      </c>
      <c r="K47" s="3"/>
      <c r="L47" s="8">
        <f t="shared" si="14"/>
        <v>-601.23055000000022</v>
      </c>
      <c r="M47" s="3"/>
      <c r="N47" s="7">
        <f t="shared" si="15"/>
        <v>-0.26922009910709854</v>
      </c>
      <c r="O47" s="12"/>
      <c r="P47" s="8">
        <v>20256.939999999999</v>
      </c>
      <c r="Q47" s="3"/>
      <c r="R47" s="7">
        <f t="shared" si="16"/>
        <v>8.1536414485104246E-3</v>
      </c>
      <c r="S47" s="3"/>
      <c r="T47" s="8">
        <v>26798.766599999999</v>
      </c>
      <c r="U47" s="3"/>
      <c r="V47" s="7">
        <f t="shared" si="17"/>
        <v>1.2294010385246875E-2</v>
      </c>
      <c r="W47" s="3"/>
      <c r="X47" s="8">
        <f t="shared" si="18"/>
        <v>-6541.8266000000003</v>
      </c>
      <c r="Y47" s="3"/>
      <c r="Z47" s="7">
        <f t="shared" si="19"/>
        <v>-0.2441092419529487</v>
      </c>
    </row>
    <row r="48" spans="1:26" s="70" customFormat="1" ht="15" hidden="1" customHeight="1" outlineLevel="2" x14ac:dyDescent="0.25">
      <c r="A48" s="25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25">
      <c r="A49" s="25"/>
      <c r="B49" s="12" t="str">
        <f>CONCATENATE("          ","6004"," - ","STAFF HOURLY")</f>
        <v xml:space="preserve">          6004 - STAFF HOURLY</v>
      </c>
      <c r="C49" s="12"/>
      <c r="D49" s="8">
        <v>3932.64</v>
      </c>
      <c r="E49" s="3"/>
      <c r="F49" s="7">
        <f t="shared" si="12"/>
        <v>9.5017333129831533E-3</v>
      </c>
      <c r="G49" s="3"/>
      <c r="H49" s="8">
        <v>3444.32</v>
      </c>
      <c r="I49" s="3"/>
      <c r="J49" s="7">
        <f t="shared" si="13"/>
        <v>8.8787152321295089E-3</v>
      </c>
      <c r="K49" s="3"/>
      <c r="L49" s="8">
        <f t="shared" si="14"/>
        <v>488.31999999999971</v>
      </c>
      <c r="M49" s="3"/>
      <c r="N49" s="7">
        <f t="shared" si="15"/>
        <v>0.1417754447902633</v>
      </c>
      <c r="O49" s="12"/>
      <c r="P49" s="8">
        <v>37828.730000000003</v>
      </c>
      <c r="Q49" s="3"/>
      <c r="R49" s="7">
        <f t="shared" si="16"/>
        <v>1.5226480449293419E-2</v>
      </c>
      <c r="S49" s="3"/>
      <c r="T49" s="8">
        <v>41331.839999999997</v>
      </c>
      <c r="U49" s="3"/>
      <c r="V49" s="7">
        <f t="shared" si="17"/>
        <v>1.8961099135113263E-2</v>
      </c>
      <c r="W49" s="3"/>
      <c r="X49" s="8">
        <f t="shared" si="18"/>
        <v>-3503.1099999999933</v>
      </c>
      <c r="Y49" s="3"/>
      <c r="Z49" s="7">
        <f t="shared" si="19"/>
        <v>-8.4755723432588373E-2</v>
      </c>
    </row>
    <row r="50" spans="1:26" s="70" customFormat="1" ht="15" hidden="1" customHeight="1" outlineLevel="2" x14ac:dyDescent="0.25">
      <c r="A50" s="25"/>
      <c r="B50" s="12" t="str">
        <f>CONCATENATE("          ","6005"," - ","TEMPORARY WAGES-HOURLY")</f>
        <v xml:space="preserve">          6005 - TEMPORARY WAGES-HOURLY</v>
      </c>
      <c r="C50" s="12"/>
      <c r="D50" s="8">
        <v>1883.48</v>
      </c>
      <c r="E50" s="3"/>
      <c r="F50" s="7">
        <f t="shared" si="12"/>
        <v>4.5507152092074312E-3</v>
      </c>
      <c r="G50" s="3"/>
      <c r="H50" s="8">
        <v>0</v>
      </c>
      <c r="I50" s="3"/>
      <c r="J50" s="7">
        <f t="shared" si="13"/>
        <v>0</v>
      </c>
      <c r="K50" s="3"/>
      <c r="L50" s="8">
        <f t="shared" si="14"/>
        <v>1883.48</v>
      </c>
      <c r="M50" s="3"/>
      <c r="N50" s="7">
        <f t="shared" si="15"/>
        <v>0</v>
      </c>
      <c r="O50" s="12"/>
      <c r="P50" s="8">
        <v>16596.509999999998</v>
      </c>
      <c r="Q50" s="3"/>
      <c r="R50" s="7">
        <f t="shared" si="16"/>
        <v>6.6802780595992166E-3</v>
      </c>
      <c r="S50" s="3"/>
      <c r="T50" s="8">
        <v>0</v>
      </c>
      <c r="U50" s="3"/>
      <c r="V50" s="7">
        <f t="shared" si="17"/>
        <v>0</v>
      </c>
      <c r="W50" s="3"/>
      <c r="X50" s="8">
        <f t="shared" si="18"/>
        <v>16596.509999999998</v>
      </c>
      <c r="Y50" s="3"/>
      <c r="Z50" s="7">
        <f t="shared" si="19"/>
        <v>0</v>
      </c>
    </row>
    <row r="51" spans="1:26" s="70" customFormat="1" ht="15" hidden="1" customHeight="1" outlineLevel="2" x14ac:dyDescent="0.25">
      <c r="A51" s="25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25">
      <c r="A52" s="25"/>
      <c r="B52" s="12" t="str">
        <f>CONCATENATE("          ","6007"," - ","STUDENT HOURLY")</f>
        <v xml:space="preserve">          6007 - STUDENT HOURLY</v>
      </c>
      <c r="C52" s="12"/>
      <c r="D52" s="8">
        <v>4110.7700000000004</v>
      </c>
      <c r="E52" s="3"/>
      <c r="F52" s="7">
        <f t="shared" si="12"/>
        <v>9.9321169115433299E-3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4110.7700000000004</v>
      </c>
      <c r="M52" s="3"/>
      <c r="N52" s="7">
        <f t="shared" si="15"/>
        <v>0</v>
      </c>
      <c r="O52" s="12"/>
      <c r="P52" s="8">
        <v>36566.639999999999</v>
      </c>
      <c r="Q52" s="3"/>
      <c r="R52" s="7">
        <f t="shared" si="16"/>
        <v>1.471847532434609E-2</v>
      </c>
      <c r="S52" s="3"/>
      <c r="T52" s="8">
        <v>10176</v>
      </c>
      <c r="U52" s="3"/>
      <c r="V52" s="7">
        <f t="shared" si="17"/>
        <v>4.6682689374320761E-3</v>
      </c>
      <c r="W52" s="3"/>
      <c r="X52" s="8">
        <f t="shared" si="18"/>
        <v>26390.639999999999</v>
      </c>
      <c r="Y52" s="3"/>
      <c r="Z52" s="7">
        <f t="shared" si="19"/>
        <v>2.5934198113207545</v>
      </c>
    </row>
    <row r="53" spans="1:26" s="70" customFormat="1" ht="15" hidden="1" customHeight="1" outlineLevel="2" x14ac:dyDescent="0.25">
      <c r="A53" s="25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4309.96</v>
      </c>
      <c r="I53" s="3"/>
      <c r="J53" s="7">
        <f t="shared" si="13"/>
        <v>1.1110148738174412E-2</v>
      </c>
      <c r="K53" s="3"/>
      <c r="L53" s="8">
        <f t="shared" si="14"/>
        <v>-4309.96</v>
      </c>
      <c r="M53" s="3"/>
      <c r="N53" s="7">
        <f t="shared" si="15"/>
        <v>-1</v>
      </c>
      <c r="O53" s="12"/>
      <c r="P53" s="8">
        <v>6145.63</v>
      </c>
      <c r="Q53" s="3"/>
      <c r="R53" s="7">
        <f t="shared" si="16"/>
        <v>2.4736837595021326E-3</v>
      </c>
      <c r="S53" s="3"/>
      <c r="T53" s="8">
        <v>44644.959999999999</v>
      </c>
      <c r="U53" s="3"/>
      <c r="V53" s="7">
        <f t="shared" si="17"/>
        <v>2.0481002356613359E-2</v>
      </c>
      <c r="W53" s="3"/>
      <c r="X53" s="8">
        <f t="shared" si="18"/>
        <v>-38499.33</v>
      </c>
      <c r="Y53" s="3"/>
      <c r="Z53" s="7">
        <f t="shared" si="19"/>
        <v>-0.86234437213069526</v>
      </c>
    </row>
    <row r="54" spans="1:26" s="70" customFormat="1" ht="15" hidden="1" customHeight="1" outlineLevel="2" x14ac:dyDescent="0.25">
      <c r="A54" s="25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25">
      <c r="A55" s="25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25">
      <c r="A56" s="26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36.81</v>
      </c>
      <c r="E56" s="2"/>
      <c r="F56" s="6">
        <f t="shared" si="12"/>
        <v>8.893740674226726E-5</v>
      </c>
      <c r="G56" s="2"/>
      <c r="H56" s="2">
        <f>SUM(OSRRefH22_2x_0)</f>
        <v>200</v>
      </c>
      <c r="I56" s="2"/>
      <c r="J56" s="6">
        <f t="shared" si="13"/>
        <v>5.1555693037403651E-4</v>
      </c>
      <c r="K56" s="2"/>
      <c r="L56" s="2">
        <f t="shared" si="14"/>
        <v>-163.19</v>
      </c>
      <c r="M56" s="2"/>
      <c r="N56" s="6">
        <f t="shared" si="15"/>
        <v>-0.81594999999999995</v>
      </c>
      <c r="O56" s="14"/>
      <c r="P56" s="2">
        <f>SUM(OSRRefP22_2x_0)</f>
        <v>215.78</v>
      </c>
      <c r="Q56" s="2"/>
      <c r="R56" s="6">
        <f t="shared" si="16"/>
        <v>8.68538264792007E-5</v>
      </c>
      <c r="S56" s="2"/>
      <c r="T56" s="2">
        <f>SUM(OSRRefT22_2x_0)</f>
        <v>2200</v>
      </c>
      <c r="U56" s="2"/>
      <c r="V56" s="6">
        <f t="shared" si="17"/>
        <v>1.0092562561272176E-3</v>
      </c>
      <c r="W56" s="2"/>
      <c r="X56" s="2">
        <f t="shared" si="18"/>
        <v>-1984.22</v>
      </c>
      <c r="Y56" s="2"/>
      <c r="Z56" s="6">
        <f t="shared" si="19"/>
        <v>-0.90191818181818184</v>
      </c>
    </row>
    <row r="57" spans="1:26" s="70" customFormat="1" ht="15" hidden="1" customHeight="1" outlineLevel="2" x14ac:dyDescent="0.25">
      <c r="A57" s="25"/>
      <c r="B57" s="12" t="str">
        <f>CONCATENATE("          ","6362"," - ","ADVERTISING EXPENSE")</f>
        <v xml:space="preserve">          6362 - ADVERTISING EXPENSE</v>
      </c>
      <c r="C57" s="12"/>
      <c r="D57" s="8">
        <v>36.81</v>
      </c>
      <c r="E57" s="3"/>
      <c r="F57" s="7">
        <f t="shared" si="12"/>
        <v>8.893740674226726E-5</v>
      </c>
      <c r="G57" s="3"/>
      <c r="H57" s="8">
        <v>200</v>
      </c>
      <c r="I57" s="3"/>
      <c r="J57" s="7">
        <f t="shared" si="13"/>
        <v>5.1555693037403651E-4</v>
      </c>
      <c r="K57" s="3"/>
      <c r="L57" s="8">
        <f t="shared" si="14"/>
        <v>-163.19</v>
      </c>
      <c r="M57" s="3"/>
      <c r="N57" s="7">
        <f t="shared" si="15"/>
        <v>-0.81594999999999995</v>
      </c>
      <c r="O57" s="12"/>
      <c r="P57" s="8">
        <v>215.78</v>
      </c>
      <c r="Q57" s="3"/>
      <c r="R57" s="7">
        <f t="shared" si="16"/>
        <v>8.68538264792007E-5</v>
      </c>
      <c r="S57" s="3"/>
      <c r="T57" s="8">
        <v>2200</v>
      </c>
      <c r="U57" s="3"/>
      <c r="V57" s="7">
        <f t="shared" si="17"/>
        <v>1.0092562561272176E-3</v>
      </c>
      <c r="W57" s="3"/>
      <c r="X57" s="8">
        <f t="shared" si="18"/>
        <v>-1984.22</v>
      </c>
      <c r="Y57" s="3"/>
      <c r="Z57" s="7">
        <f t="shared" si="19"/>
        <v>-0.90191818181818184</v>
      </c>
    </row>
    <row r="58" spans="1:26" s="69" customFormat="1" ht="15" customHeight="1" outlineLevel="1" collapsed="1" x14ac:dyDescent="0.25">
      <c r="A58" s="26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6.7757691787018279E-4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3084.84</v>
      </c>
      <c r="Q58" s="2"/>
      <c r="R58" s="6">
        <f t="shared" si="16"/>
        <v>1.2416820746876331E-3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3084.84</v>
      </c>
      <c r="Y58" s="2"/>
      <c r="Z58" s="6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","6322"," - ","EQUIPMENT DEPRECIATION EXPENSE")</f>
        <v xml:space="preserve">          6322 - EQUIPMENT DEPRECIATION EXPENSE</v>
      </c>
      <c r="C59" s="12"/>
      <c r="D59" s="8">
        <v>280.44</v>
      </c>
      <c r="E59" s="3"/>
      <c r="F59" s="7">
        <f t="shared" si="12"/>
        <v>6.7757691787018279E-4</v>
      </c>
      <c r="G59" s="3"/>
      <c r="H59" s="8"/>
      <c r="I59" s="3"/>
      <c r="J59" s="7">
        <f t="shared" si="13"/>
        <v>0</v>
      </c>
      <c r="K59" s="3"/>
      <c r="L59" s="8">
        <f t="shared" si="14"/>
        <v>280.44</v>
      </c>
      <c r="M59" s="3"/>
      <c r="N59" s="7">
        <f t="shared" si="15"/>
        <v>0</v>
      </c>
      <c r="O59" s="12"/>
      <c r="P59" s="8">
        <v>3084.84</v>
      </c>
      <c r="Q59" s="3"/>
      <c r="R59" s="7">
        <f t="shared" si="16"/>
        <v>1.2416820746876331E-3</v>
      </c>
      <c r="S59" s="3"/>
      <c r="T59" s="8"/>
      <c r="U59" s="3"/>
      <c r="V59" s="7">
        <f t="shared" si="17"/>
        <v>0</v>
      </c>
      <c r="W59" s="3"/>
      <c r="X59" s="8">
        <f t="shared" si="18"/>
        <v>3084.84</v>
      </c>
      <c r="Y59" s="3"/>
      <c r="Z59" s="7">
        <f t="shared" si="19"/>
        <v>0</v>
      </c>
    </row>
    <row r="60" spans="1:26" s="69" customFormat="1" ht="15" customHeight="1" outlineLevel="1" collapsed="1" x14ac:dyDescent="0.25">
      <c r="A60" s="26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5.1555693037403653E-5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220</v>
      </c>
      <c r="U60" s="2"/>
      <c r="V60" s="6">
        <f t="shared" si="17"/>
        <v>1.0092562561272177E-4</v>
      </c>
      <c r="W60" s="2"/>
      <c r="X60" s="2">
        <f t="shared" si="18"/>
        <v>-220</v>
      </c>
      <c r="Y60" s="2"/>
      <c r="Z60" s="6">
        <f t="shared" si="19"/>
        <v>-1</v>
      </c>
    </row>
    <row r="61" spans="1:26" s="70" customFormat="1" ht="15" hidden="1" customHeight="1" outlineLevel="2" x14ac:dyDescent="0.25">
      <c r="A61" s="25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20</v>
      </c>
      <c r="I61" s="3"/>
      <c r="J61" s="7">
        <f t="shared" si="13"/>
        <v>5.1555693037403653E-5</v>
      </c>
      <c r="K61" s="3"/>
      <c r="L61" s="8">
        <f t="shared" si="14"/>
        <v>-20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220</v>
      </c>
      <c r="U61" s="3"/>
      <c r="V61" s="7">
        <f t="shared" si="17"/>
        <v>1.0092562561272177E-4</v>
      </c>
      <c r="W61" s="3"/>
      <c r="X61" s="8">
        <f t="shared" si="18"/>
        <v>-220</v>
      </c>
      <c r="Y61" s="3"/>
      <c r="Z61" s="7">
        <f t="shared" si="19"/>
        <v>-1</v>
      </c>
    </row>
    <row r="62" spans="1:26" s="69" customFormat="1" ht="15" customHeight="1" outlineLevel="1" collapsed="1" x14ac:dyDescent="0.25">
      <c r="A62" s="26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3.8666769778052741E-5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4.9158670070927705E-5</v>
      </c>
      <c r="S62" s="2"/>
      <c r="T62" s="2">
        <f>SUM(OSRRefT22_5x_0)</f>
        <v>165</v>
      </c>
      <c r="U62" s="2"/>
      <c r="V62" s="6">
        <f t="shared" si="17"/>
        <v>7.5694219209541331E-5</v>
      </c>
      <c r="W62" s="2"/>
      <c r="X62" s="2">
        <f t="shared" si="18"/>
        <v>-42.870000000000005</v>
      </c>
      <c r="Y62" s="2"/>
      <c r="Z62" s="6">
        <f t="shared" si="19"/>
        <v>-0.25981818181818184</v>
      </c>
    </row>
    <row r="63" spans="1:26" s="70" customFormat="1" ht="15" hidden="1" customHeight="1" outlineLevel="2" x14ac:dyDescent="0.25">
      <c r="A63" s="25"/>
      <c r="B63" s="12" t="str">
        <f>CONCATENATE("          ","6305"," - ","FREIGHT OUT")</f>
        <v xml:space="preserve">          6305 - FREIGHT OUT</v>
      </c>
      <c r="C63" s="12"/>
      <c r="D63" s="8"/>
      <c r="E63" s="3"/>
      <c r="F63" s="7">
        <f t="shared" si="12"/>
        <v>0</v>
      </c>
      <c r="G63" s="3"/>
      <c r="H63" s="8">
        <v>15</v>
      </c>
      <c r="I63" s="3"/>
      <c r="J63" s="7">
        <f t="shared" si="13"/>
        <v>3.8666769778052741E-5</v>
      </c>
      <c r="K63" s="3"/>
      <c r="L63" s="8">
        <f t="shared" si="14"/>
        <v>-15</v>
      </c>
      <c r="M63" s="3"/>
      <c r="N63" s="7">
        <f t="shared" si="15"/>
        <v>-1</v>
      </c>
      <c r="O63" s="12"/>
      <c r="P63" s="8">
        <v>122.13</v>
      </c>
      <c r="Q63" s="3"/>
      <c r="R63" s="7">
        <f t="shared" si="16"/>
        <v>4.9158670070927705E-5</v>
      </c>
      <c r="S63" s="3"/>
      <c r="T63" s="8">
        <v>165</v>
      </c>
      <c r="U63" s="3"/>
      <c r="V63" s="7">
        <f t="shared" si="17"/>
        <v>7.5694219209541331E-5</v>
      </c>
      <c r="W63" s="3"/>
      <c r="X63" s="8">
        <f t="shared" si="18"/>
        <v>-42.870000000000005</v>
      </c>
      <c r="Y63" s="3"/>
      <c r="Z63" s="7">
        <f t="shared" si="19"/>
        <v>-0.25981818181818184</v>
      </c>
    </row>
    <row r="64" spans="1:26" s="69" customFormat="1" ht="15" customHeight="1" outlineLevel="1" collapsed="1" x14ac:dyDescent="0.25">
      <c r="A64" s="26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30</v>
      </c>
      <c r="I64" s="2"/>
      <c r="J64" s="6">
        <f t="shared" si="13"/>
        <v>7.7333539556105483E-5</v>
      </c>
      <c r="K64" s="2"/>
      <c r="L64" s="2">
        <f t="shared" si="14"/>
        <v>-30</v>
      </c>
      <c r="M64" s="2"/>
      <c r="N64" s="6">
        <f t="shared" si="15"/>
        <v>-1</v>
      </c>
      <c r="O64" s="14"/>
      <c r="P64" s="2">
        <f>SUM(OSRRefP22_6x_0)</f>
        <v>285</v>
      </c>
      <c r="Q64" s="2"/>
      <c r="R64" s="6">
        <f t="shared" si="16"/>
        <v>1.147156388292344E-4</v>
      </c>
      <c r="S64" s="2"/>
      <c r="T64" s="2">
        <f>SUM(OSRRefT22_6x_0)</f>
        <v>330</v>
      </c>
      <c r="U64" s="2"/>
      <c r="V64" s="6">
        <f t="shared" si="17"/>
        <v>1.5138843841908266E-4</v>
      </c>
      <c r="W64" s="2"/>
      <c r="X64" s="2">
        <f t="shared" si="18"/>
        <v>-45</v>
      </c>
      <c r="Y64" s="2"/>
      <c r="Z64" s="6">
        <f t="shared" si="19"/>
        <v>-0.13636363636363635</v>
      </c>
    </row>
    <row r="65" spans="1:26" s="70" customFormat="1" ht="15" hidden="1" customHeight="1" outlineLevel="2" x14ac:dyDescent="0.25">
      <c r="A65" s="25"/>
      <c r="B65" s="12" t="str">
        <f>CONCATENATE("          ","6279"," - ","GENERAL EXPENSE")</f>
        <v xml:space="preserve">          6279 - GENERAL EXPENSE</v>
      </c>
      <c r="C65" s="12"/>
      <c r="D65" s="8"/>
      <c r="E65" s="3"/>
      <c r="F65" s="7">
        <f t="shared" si="12"/>
        <v>0</v>
      </c>
      <c r="G65" s="3"/>
      <c r="H65" s="8">
        <v>30</v>
      </c>
      <c r="I65" s="3"/>
      <c r="J65" s="7">
        <f t="shared" si="13"/>
        <v>7.7333539556105483E-5</v>
      </c>
      <c r="K65" s="3"/>
      <c r="L65" s="8">
        <f t="shared" si="14"/>
        <v>-30</v>
      </c>
      <c r="M65" s="3"/>
      <c r="N65" s="7">
        <f t="shared" si="15"/>
        <v>-1</v>
      </c>
      <c r="O65" s="12"/>
      <c r="P65" s="8">
        <v>285</v>
      </c>
      <c r="Q65" s="3"/>
      <c r="R65" s="7">
        <f t="shared" si="16"/>
        <v>1.147156388292344E-4</v>
      </c>
      <c r="S65" s="3"/>
      <c r="T65" s="8">
        <v>330</v>
      </c>
      <c r="U65" s="3"/>
      <c r="V65" s="7">
        <f t="shared" si="17"/>
        <v>1.5138843841908266E-4</v>
      </c>
      <c r="W65" s="3"/>
      <c r="X65" s="8">
        <f t="shared" si="18"/>
        <v>-45</v>
      </c>
      <c r="Y65" s="3"/>
      <c r="Z65" s="7">
        <f t="shared" si="19"/>
        <v>-0.13636363636363635</v>
      </c>
    </row>
    <row r="66" spans="1:26" s="69" customFormat="1" ht="15" customHeight="1" outlineLevel="1" collapsed="1" x14ac:dyDescent="0.25">
      <c r="A66" s="26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2100</v>
      </c>
      <c r="E66" s="2"/>
      <c r="F66" s="6">
        <f t="shared" si="12"/>
        <v>5.0738536853779199E-3</v>
      </c>
      <c r="G66" s="2"/>
      <c r="H66" s="2">
        <f>SUM(OSRRefH22_7x_0)</f>
        <v>2100</v>
      </c>
      <c r="I66" s="2"/>
      <c r="J66" s="6">
        <f t="shared" si="13"/>
        <v>5.4133477689273842E-3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10740</v>
      </c>
      <c r="Q66" s="2"/>
      <c r="R66" s="6">
        <f t="shared" si="16"/>
        <v>4.322968284301675E-3</v>
      </c>
      <c r="S66" s="2"/>
      <c r="T66" s="2">
        <f>SUM(OSRRefT22_7x_0)</f>
        <v>11450</v>
      </c>
      <c r="U66" s="2"/>
      <c r="V66" s="6">
        <f t="shared" si="17"/>
        <v>5.2527200602984735E-3</v>
      </c>
      <c r="W66" s="2"/>
      <c r="X66" s="2">
        <f t="shared" si="18"/>
        <v>-710</v>
      </c>
      <c r="Y66" s="2"/>
      <c r="Z66" s="6">
        <f t="shared" si="19"/>
        <v>-6.2008733624454151E-2</v>
      </c>
    </row>
    <row r="67" spans="1:26" s="70" customFormat="1" ht="15" hidden="1" customHeight="1" outlineLevel="2" x14ac:dyDescent="0.25">
      <c r="A67" s="25"/>
      <c r="B67" s="12" t="str">
        <f>CONCATENATE("          ","6408"," - ","INVENTORY ADJUSTMENT")</f>
        <v xml:space="preserve">          6408 - INVENTORY ADJUSTMENT</v>
      </c>
      <c r="C67" s="12"/>
      <c r="D67" s="8">
        <v>2100</v>
      </c>
      <c r="E67" s="3"/>
      <c r="F67" s="7">
        <f t="shared" si="12"/>
        <v>5.0738536853779199E-3</v>
      </c>
      <c r="G67" s="3"/>
      <c r="H67" s="8">
        <v>2100</v>
      </c>
      <c r="I67" s="3"/>
      <c r="J67" s="7">
        <f t="shared" si="13"/>
        <v>5.4133477689273842E-3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10740</v>
      </c>
      <c r="Q67" s="3"/>
      <c r="R67" s="7">
        <f t="shared" si="16"/>
        <v>4.322968284301675E-3</v>
      </c>
      <c r="S67" s="3"/>
      <c r="T67" s="8">
        <v>11450</v>
      </c>
      <c r="U67" s="3"/>
      <c r="V67" s="7">
        <f t="shared" si="17"/>
        <v>5.2527200602984735E-3</v>
      </c>
      <c r="W67" s="3"/>
      <c r="X67" s="8">
        <f t="shared" si="18"/>
        <v>-710</v>
      </c>
      <c r="Y67" s="3"/>
      <c r="Z67" s="7">
        <f t="shared" si="19"/>
        <v>-6.2008733624454151E-2</v>
      </c>
    </row>
    <row r="68" spans="1:26" s="69" customFormat="1" ht="15" customHeight="1" outlineLevel="1" collapsed="1" x14ac:dyDescent="0.25">
      <c r="A68" s="26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0</v>
      </c>
      <c r="E68" s="2"/>
      <c r="F68" s="6">
        <f t="shared" si="12"/>
        <v>0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SUM(OSRRefP22_8x_0)</f>
        <v>1550</v>
      </c>
      <c r="Q68" s="2"/>
      <c r="R68" s="6">
        <f t="shared" si="16"/>
        <v>6.2389207082566079E-4</v>
      </c>
      <c r="S68" s="2"/>
      <c r="T68" s="2">
        <f>SUM(OSRRefT22_8x_0)</f>
        <v>0</v>
      </c>
      <c r="U68" s="2"/>
      <c r="V68" s="6">
        <f t="shared" si="17"/>
        <v>0</v>
      </c>
      <c r="W68" s="2"/>
      <c r="X68" s="2">
        <f t="shared" si="18"/>
        <v>1550</v>
      </c>
      <c r="Y68" s="2"/>
      <c r="Z68" s="6">
        <f t="shared" si="19"/>
        <v>0</v>
      </c>
    </row>
    <row r="69" spans="1:26" s="70" customFormat="1" ht="15" hidden="1" customHeight="1" outlineLevel="2" x14ac:dyDescent="0.25">
      <c r="A69" s="25"/>
      <c r="B69" s="12" t="str">
        <f>CONCATENATE("          ","6371"," - ","COMPUTER SOFTWARE MAINTENANCE")</f>
        <v xml:space="preserve">          6371 - COMPUTER SOFTWARE MAINTENANCE</v>
      </c>
      <c r="C69" s="12"/>
      <c r="D69" s="8"/>
      <c r="E69" s="3"/>
      <c r="F69" s="7">
        <f t="shared" si="12"/>
        <v>0</v>
      </c>
      <c r="G69" s="3"/>
      <c r="H69" s="8"/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1550</v>
      </c>
      <c r="Q69" s="3"/>
      <c r="R69" s="7">
        <f t="shared" si="16"/>
        <v>6.2389207082566079E-4</v>
      </c>
      <c r="S69" s="3"/>
      <c r="T69" s="8"/>
      <c r="U69" s="3"/>
      <c r="V69" s="7">
        <f t="shared" si="17"/>
        <v>0</v>
      </c>
      <c r="W69" s="3"/>
      <c r="X69" s="8">
        <f t="shared" si="18"/>
        <v>1550</v>
      </c>
      <c r="Y69" s="3"/>
      <c r="Z69" s="7">
        <f t="shared" si="19"/>
        <v>0</v>
      </c>
    </row>
    <row r="70" spans="1:26" s="69" customFormat="1" ht="15" customHeight="1" outlineLevel="1" collapsed="1" x14ac:dyDescent="0.25">
      <c r="A70" s="26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SUM(OSRRefD22_9x_0)</f>
        <v>180.57</v>
      </c>
      <c r="E70" s="2"/>
      <c r="F70" s="6">
        <f t="shared" si="12"/>
        <v>4.3627893331842429E-4</v>
      </c>
      <c r="G70" s="2"/>
      <c r="H70" s="2">
        <f>SUM(OSRRefH22_9x_0)</f>
        <v>310</v>
      </c>
      <c r="I70" s="2"/>
      <c r="J70" s="6">
        <f t="shared" si="13"/>
        <v>7.9911324207975669E-4</v>
      </c>
      <c r="K70" s="2"/>
      <c r="L70" s="2">
        <f t="shared" si="14"/>
        <v>-129.43</v>
      </c>
      <c r="M70" s="2"/>
      <c r="N70" s="6">
        <f t="shared" si="15"/>
        <v>-0.4175161290322581</v>
      </c>
      <c r="O70" s="14"/>
      <c r="P70" s="2">
        <f>SUM(OSRRefP22_9x_0)</f>
        <v>5111.4699999999993</v>
      </c>
      <c r="Q70" s="2"/>
      <c r="R70" s="6">
        <f t="shared" si="16"/>
        <v>2.0574229698472513E-3</v>
      </c>
      <c r="S70" s="2"/>
      <c r="T70" s="2">
        <f>SUM(OSRRefT22_9x_0)</f>
        <v>3410</v>
      </c>
      <c r="U70" s="2"/>
      <c r="V70" s="6">
        <f t="shared" si="17"/>
        <v>1.5643471969971874E-3</v>
      </c>
      <c r="W70" s="2"/>
      <c r="X70" s="2">
        <f t="shared" si="18"/>
        <v>1701.4699999999993</v>
      </c>
      <c r="Y70" s="2"/>
      <c r="Z70" s="6">
        <f t="shared" si="19"/>
        <v>0.49896480938416404</v>
      </c>
    </row>
    <row r="71" spans="1:26" s="70" customFormat="1" ht="15" hidden="1" customHeight="1" outlineLevel="2" x14ac:dyDescent="0.25">
      <c r="A71" s="25"/>
      <c r="B71" s="12" t="str">
        <f>CONCATENATE("          ","6241"," - ","OFFICE EXPENSE")</f>
        <v xml:space="preserve">          6241 - OFFICE EXPENSE</v>
      </c>
      <c r="C71" s="12"/>
      <c r="D71" s="8">
        <v>180.57</v>
      </c>
      <c r="E71" s="3"/>
      <c r="F71" s="7">
        <f t="shared" si="12"/>
        <v>4.3627893331842429E-4</v>
      </c>
      <c r="G71" s="3"/>
      <c r="H71" s="8">
        <v>110</v>
      </c>
      <c r="I71" s="3"/>
      <c r="J71" s="7">
        <f t="shared" si="13"/>
        <v>2.8355631170572012E-4</v>
      </c>
      <c r="K71" s="3"/>
      <c r="L71" s="8">
        <f t="shared" si="14"/>
        <v>70.569999999999993</v>
      </c>
      <c r="M71" s="3"/>
      <c r="N71" s="7">
        <f t="shared" si="15"/>
        <v>0.64154545454545453</v>
      </c>
      <c r="O71" s="12"/>
      <c r="P71" s="8">
        <v>2199.4699999999998</v>
      </c>
      <c r="Q71" s="3"/>
      <c r="R71" s="7">
        <f t="shared" si="16"/>
        <v>8.8531089872188125E-4</v>
      </c>
      <c r="S71" s="3"/>
      <c r="T71" s="8">
        <v>1210</v>
      </c>
      <c r="U71" s="3"/>
      <c r="V71" s="7">
        <f t="shared" si="17"/>
        <v>5.5509094086996977E-4</v>
      </c>
      <c r="W71" s="3"/>
      <c r="X71" s="8">
        <f t="shared" si="18"/>
        <v>989.4699999999998</v>
      </c>
      <c r="Y71" s="3"/>
      <c r="Z71" s="7">
        <f t="shared" si="19"/>
        <v>0.8177438016528924</v>
      </c>
    </row>
    <row r="72" spans="1:26" s="70" customFormat="1" ht="15" hidden="1" customHeight="1" outlineLevel="2" x14ac:dyDescent="0.25">
      <c r="A72" s="25"/>
      <c r="B72" s="12" t="str">
        <f>CONCATENATE("          ","6247"," - ","STORE SUPPLIES")</f>
        <v xml:space="preserve">          6247 - STORE SUPPLIES</v>
      </c>
      <c r="C72" s="12"/>
      <c r="D72" s="8"/>
      <c r="E72" s="3"/>
      <c r="F72" s="7">
        <f t="shared" si="12"/>
        <v>0</v>
      </c>
      <c r="G72" s="3"/>
      <c r="H72" s="8">
        <v>200</v>
      </c>
      <c r="I72" s="3"/>
      <c r="J72" s="7">
        <f t="shared" si="13"/>
        <v>5.1555693037403651E-4</v>
      </c>
      <c r="K72" s="3"/>
      <c r="L72" s="8">
        <f t="shared" si="14"/>
        <v>-200</v>
      </c>
      <c r="M72" s="3"/>
      <c r="N72" s="7">
        <f t="shared" si="15"/>
        <v>-1</v>
      </c>
      <c r="O72" s="12"/>
      <c r="P72" s="8">
        <v>2912</v>
      </c>
      <c r="Q72" s="3"/>
      <c r="R72" s="7">
        <f t="shared" si="16"/>
        <v>1.1721120711253705E-3</v>
      </c>
      <c r="S72" s="3"/>
      <c r="T72" s="8">
        <v>2200</v>
      </c>
      <c r="U72" s="3"/>
      <c r="V72" s="7">
        <f t="shared" si="17"/>
        <v>1.0092562561272176E-3</v>
      </c>
      <c r="W72" s="3"/>
      <c r="X72" s="8">
        <f t="shared" si="18"/>
        <v>712</v>
      </c>
      <c r="Y72" s="3"/>
      <c r="Z72" s="7">
        <f t="shared" si="19"/>
        <v>0.32363636363636361</v>
      </c>
    </row>
    <row r="73" spans="1:26" s="69" customFormat="1" ht="15" customHeight="1" outlineLevel="1" collapsed="1" x14ac:dyDescent="0.25">
      <c r="A73" s="26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SUM(OSRRefD22_10x_0)</f>
        <v>96.45</v>
      </c>
      <c r="E73" s="2"/>
      <c r="F73" s="6">
        <f t="shared" si="12"/>
        <v>2.3303485140700018E-4</v>
      </c>
      <c r="G73" s="2"/>
      <c r="H73" s="2">
        <f>SUM(OSRRefH22_10x_0)</f>
        <v>325</v>
      </c>
      <c r="I73" s="2"/>
      <c r="J73" s="6">
        <f t="shared" si="13"/>
        <v>8.3778001185780943E-4</v>
      </c>
      <c r="K73" s="2"/>
      <c r="L73" s="2">
        <f t="shared" si="14"/>
        <v>-228.55</v>
      </c>
      <c r="M73" s="2"/>
      <c r="N73" s="6">
        <f t="shared" si="15"/>
        <v>-0.70323076923076921</v>
      </c>
      <c r="O73" s="14"/>
      <c r="P73" s="2">
        <f>SUM(OSRRefP22_10x_0)</f>
        <v>2011.66</v>
      </c>
      <c r="Q73" s="2"/>
      <c r="R73" s="6">
        <f t="shared" si="16"/>
        <v>8.097153052884831E-4</v>
      </c>
      <c r="S73" s="2"/>
      <c r="T73" s="2">
        <f>SUM(OSRRefT22_10x_0)</f>
        <v>3575</v>
      </c>
      <c r="U73" s="2"/>
      <c r="V73" s="6">
        <f t="shared" si="17"/>
        <v>1.6400414162067287E-3</v>
      </c>
      <c r="W73" s="2"/>
      <c r="X73" s="2">
        <f t="shared" si="18"/>
        <v>-1563.34</v>
      </c>
      <c r="Y73" s="2"/>
      <c r="Z73" s="6">
        <f t="shared" si="19"/>
        <v>-0.43729790209790209</v>
      </c>
    </row>
    <row r="74" spans="1:26" s="70" customFormat="1" ht="15" hidden="1" customHeight="1" outlineLevel="2" x14ac:dyDescent="0.25">
      <c r="A74" s="25"/>
      <c r="B74" s="12" t="str">
        <f>CONCATENATE("          ","6309"," - ","TELEPHONE")</f>
        <v xml:space="preserve">          6309 - TELEPHONE</v>
      </c>
      <c r="C74" s="12"/>
      <c r="D74" s="8">
        <v>96.45</v>
      </c>
      <c r="E74" s="3"/>
      <c r="F74" s="7">
        <f t="shared" si="12"/>
        <v>2.3303485140700018E-4</v>
      </c>
      <c r="G74" s="3"/>
      <c r="H74" s="8">
        <v>325</v>
      </c>
      <c r="I74" s="3"/>
      <c r="J74" s="7">
        <f t="shared" si="13"/>
        <v>8.3778001185780943E-4</v>
      </c>
      <c r="K74" s="3"/>
      <c r="L74" s="8">
        <f t="shared" si="14"/>
        <v>-228.55</v>
      </c>
      <c r="M74" s="3"/>
      <c r="N74" s="7">
        <f t="shared" si="15"/>
        <v>-0.70323076923076921</v>
      </c>
      <c r="O74" s="12"/>
      <c r="P74" s="8">
        <v>2011.66</v>
      </c>
      <c r="Q74" s="3"/>
      <c r="R74" s="7">
        <f t="shared" si="16"/>
        <v>8.097153052884831E-4</v>
      </c>
      <c r="S74" s="3"/>
      <c r="T74" s="8">
        <v>3575</v>
      </c>
      <c r="U74" s="3"/>
      <c r="V74" s="7">
        <f t="shared" si="17"/>
        <v>1.6400414162067287E-3</v>
      </c>
      <c r="W74" s="3"/>
      <c r="X74" s="8">
        <f t="shared" si="18"/>
        <v>-1563.34</v>
      </c>
      <c r="Y74" s="3"/>
      <c r="Z74" s="7">
        <f t="shared" si="19"/>
        <v>-0.43729790209790209</v>
      </c>
    </row>
    <row r="75" spans="1:26" s="65" customFormat="1" ht="15" customHeight="1" x14ac:dyDescent="0.25">
      <c r="A75" s="35"/>
      <c r="B75" s="35"/>
      <c r="C75" s="35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5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3" customFormat="1" ht="15" customHeight="1" collapsed="1" x14ac:dyDescent="0.25">
      <c r="A76" s="11"/>
      <c r="B76" s="27" t="s">
        <v>291</v>
      </c>
      <c r="C76" s="11"/>
      <c r="D76" s="5">
        <f>SUM(OSRRefD25x_0)</f>
        <v>-1073.31</v>
      </c>
      <c r="E76" s="5"/>
      <c r="F76" s="13">
        <f>IF(D$12=0,0,D76/D$12)</f>
        <v>-2.5932466185966548E-3</v>
      </c>
      <c r="G76" s="5"/>
      <c r="H76" s="5">
        <f>SUM(OSRRefH25x_0)</f>
        <v>829</v>
      </c>
      <c r="I76" s="5"/>
      <c r="J76" s="13">
        <f>IF(H$12=0,0,H76/H$12)</f>
        <v>2.1369834764003817E-3</v>
      </c>
      <c r="K76" s="5"/>
      <c r="L76" s="5">
        <f>+D76-H76</f>
        <v>-1902.31</v>
      </c>
      <c r="M76" s="5"/>
      <c r="N76" s="13">
        <f>IF(H76=0,0,L76/H76)</f>
        <v>-2.294704463208685</v>
      </c>
      <c r="O76" s="11"/>
      <c r="P76" s="5">
        <f>SUM(OSRRefP25x_0)</f>
        <v>3764.77</v>
      </c>
      <c r="Q76" s="5"/>
      <c r="R76" s="13">
        <f>IF(P$12=0,0,P76/P$12)</f>
        <v>1.5153613880531116E-3</v>
      </c>
      <c r="S76" s="5"/>
      <c r="T76" s="5">
        <f>SUM(OSRRefT25x_0)</f>
        <v>17576</v>
      </c>
      <c r="U76" s="5"/>
      <c r="V76" s="13">
        <f>IF(T$12=0,0,T76/T$12)</f>
        <v>8.0630399807690815E-3</v>
      </c>
      <c r="W76" s="5"/>
      <c r="X76" s="5">
        <f>+P76-T76</f>
        <v>-13811.23</v>
      </c>
      <c r="Y76" s="5"/>
      <c r="Z76" s="13">
        <f>IF(T76=0,0,X76/T76)</f>
        <v>-0.785800523441056</v>
      </c>
    </row>
    <row r="77" spans="1:26" s="70" customFormat="1" ht="15" hidden="1" customHeight="1" outlineLevel="1" x14ac:dyDescent="0.25">
      <c r="A77" s="42"/>
      <c r="B77" s="12" t="str">
        <f>CONCATENATE("          ","4187"," - ","NON-TAXABLE SALES-COMPUTER REP")</f>
        <v xml:space="preserve">          4187 - NON-TAXABLE SALES-COMPUTER REP</v>
      </c>
      <c r="C77" s="12"/>
      <c r="D77" s="3">
        <f>0</f>
        <v>0</v>
      </c>
      <c r="E77" s="3"/>
      <c r="F77" s="20">
        <f>IF(D$12=0,0,D77/D$12)</f>
        <v>0</v>
      </c>
      <c r="G77" s="3"/>
      <c r="H77" s="3"/>
      <c r="I77" s="3"/>
      <c r="J77" s="20">
        <f>IF(H$12=0,0,H77/H$12)</f>
        <v>0</v>
      </c>
      <c r="K77" s="3"/>
      <c r="L77" s="3">
        <f>+D77-H77</f>
        <v>0</v>
      </c>
      <c r="M77" s="3"/>
      <c r="N77" s="20">
        <f>IF(H77=0,0,L77/H77)</f>
        <v>0</v>
      </c>
      <c r="O77" s="12"/>
      <c r="P77" s="3">
        <f>0</f>
        <v>0</v>
      </c>
      <c r="Q77" s="3"/>
      <c r="R77" s="20">
        <f>IF(P$12=0,0,P77/P$12)</f>
        <v>0</v>
      </c>
      <c r="S77" s="3"/>
      <c r="T77" s="3"/>
      <c r="U77" s="3"/>
      <c r="V77" s="20">
        <f>IF(T$12=0,0,T77/T$12)</f>
        <v>0</v>
      </c>
      <c r="W77" s="3"/>
      <c r="X77" s="3">
        <f>+P77-T77</f>
        <v>0</v>
      </c>
      <c r="Y77" s="3"/>
      <c r="Z77" s="20">
        <f>IF(T77=0,0,X77/T77)</f>
        <v>0</v>
      </c>
    </row>
    <row r="78" spans="1:26" s="70" customFormat="1" ht="15" hidden="1" customHeight="1" outlineLevel="1" x14ac:dyDescent="0.25">
      <c r="A78" s="42"/>
      <c r="B78" s="12" t="str">
        <f>CONCATENATE("          ","9087"," - ","")</f>
        <v xml:space="preserve">          9087 - </v>
      </c>
      <c r="C78" s="12"/>
      <c r="D78" s="3">
        <f>-1290.36</f>
        <v>-1290.3599999999999</v>
      </c>
      <c r="E78" s="3"/>
      <c r="F78" s="20">
        <f>IF(D$12=0,0,D78/D$12)</f>
        <v>-3.117665638792501E-3</v>
      </c>
      <c r="G78" s="3"/>
      <c r="H78" s="3"/>
      <c r="I78" s="3"/>
      <c r="J78" s="20">
        <f>IF(H$12=0,0,H78/H$12)</f>
        <v>0</v>
      </c>
      <c r="K78" s="3"/>
      <c r="L78" s="3">
        <f>+D78-H78</f>
        <v>-1290.3599999999999</v>
      </c>
      <c r="M78" s="3"/>
      <c r="N78" s="20">
        <f>IF(H78=0,0,L78/H78)</f>
        <v>0</v>
      </c>
      <c r="O78" s="12"/>
      <c r="P78" s="3">
        <f>--705.64</f>
        <v>705.64</v>
      </c>
      <c r="Q78" s="3"/>
      <c r="R78" s="20">
        <f>IF(P$12=0,0,P78/P$12)</f>
        <v>2.8402787152091561E-4</v>
      </c>
      <c r="S78" s="3"/>
      <c r="T78" s="3"/>
      <c r="U78" s="3"/>
      <c r="V78" s="20">
        <f>IF(T$12=0,0,T78/T$12)</f>
        <v>0</v>
      </c>
      <c r="W78" s="3"/>
      <c r="X78" s="3">
        <f>+P78-T78</f>
        <v>705.64</v>
      </c>
      <c r="Y78" s="3"/>
      <c r="Z78" s="20">
        <f>IF(T78=0,0,X78/T78)</f>
        <v>0</v>
      </c>
    </row>
    <row r="79" spans="1:26" s="70" customFormat="1" ht="15" hidden="1" customHeight="1" outlineLevel="1" x14ac:dyDescent="0.25">
      <c r="A79" s="42"/>
      <c r="B79" s="12" t="str">
        <f>CONCATENATE("          ","9150"," - ","MISC. INCOME")</f>
        <v xml:space="preserve">          9150 - MISC. INCOME</v>
      </c>
      <c r="C79" s="12"/>
      <c r="D79" s="3">
        <f>--217.05</f>
        <v>217.05</v>
      </c>
      <c r="E79" s="3"/>
      <c r="F79" s="20">
        <f>IF(D$12=0,0,D79/D$12)</f>
        <v>5.2441902019584644E-4</v>
      </c>
      <c r="G79" s="3"/>
      <c r="H79" s="3">
        <v>829</v>
      </c>
      <c r="I79" s="3"/>
      <c r="J79" s="20">
        <f>IF(H$12=0,0,H79/H$12)</f>
        <v>2.1369834764003817E-3</v>
      </c>
      <c r="K79" s="3"/>
      <c r="L79" s="3">
        <f>+D79-H79</f>
        <v>-611.95000000000005</v>
      </c>
      <c r="M79" s="3"/>
      <c r="N79" s="20">
        <f>IF(H79=0,0,L79/H79)</f>
        <v>-0.7381785283474066</v>
      </c>
      <c r="O79" s="12"/>
      <c r="P79" s="3">
        <f>--3059.13</f>
        <v>3059.13</v>
      </c>
      <c r="Q79" s="3"/>
      <c r="R79" s="20">
        <f>IF(P$12=0,0,P79/P$12)</f>
        <v>1.231333516532196E-3</v>
      </c>
      <c r="S79" s="3"/>
      <c r="T79" s="3">
        <v>17576</v>
      </c>
      <c r="U79" s="3"/>
      <c r="V79" s="20">
        <f>IF(T$12=0,0,T79/T$12)</f>
        <v>8.0630399807690815E-3</v>
      </c>
      <c r="W79" s="3"/>
      <c r="X79" s="3">
        <f>+P79-T79</f>
        <v>-14516.869999999999</v>
      </c>
      <c r="Y79" s="3"/>
      <c r="Z79" s="20">
        <f>IF(T79=0,0,X79/T79)</f>
        <v>-0.82594845243513881</v>
      </c>
    </row>
    <row r="80" spans="1:26" ht="15" customHeight="1" x14ac:dyDescent="0.25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25">
      <c r="A81" s="11"/>
      <c r="B81" s="28" t="s">
        <v>292</v>
      </c>
      <c r="C81" s="28"/>
      <c r="D81" s="22">
        <f>+D31-D33+D76</f>
        <v>54141.979999999996</v>
      </c>
      <c r="E81" s="15"/>
      <c r="F81" s="21">
        <f>IF(D$12=0,0,D81/D$12)</f>
        <v>0.13081356416983697</v>
      </c>
      <c r="G81" s="15"/>
      <c r="H81" s="22">
        <f>+H31-H33+H76</f>
        <v>26011.266523130002</v>
      </c>
      <c r="I81" s="15"/>
      <c r="J81" s="21">
        <f>IF(H$12=0,0,H81/H$12)</f>
        <v>6.7051443619029205E-2</v>
      </c>
      <c r="K81" s="16"/>
      <c r="L81" s="22">
        <f>+D81-H81</f>
        <v>28130.713476869994</v>
      </c>
      <c r="M81" s="16"/>
      <c r="N81" s="21">
        <f>IF(H81=0,0,L81/H81)</f>
        <v>1.0814818821626897</v>
      </c>
      <c r="O81" s="27"/>
      <c r="P81" s="22">
        <f>+P31-P33+P76</f>
        <v>207475.48000000068</v>
      </c>
      <c r="Q81" s="15"/>
      <c r="R81" s="21">
        <f>IF(P$12=0,0,P81/P$12)</f>
        <v>8.351116571790218E-2</v>
      </c>
      <c r="S81" s="15"/>
      <c r="T81" s="22">
        <f>+T31-T33+T76</f>
        <v>71155.55030956</v>
      </c>
      <c r="U81" s="15"/>
      <c r="V81" s="21">
        <f>IF(T$12=0,0,T81/T$12)</f>
        <v>3.2642811049135641E-2</v>
      </c>
      <c r="W81" s="16"/>
      <c r="X81" s="22">
        <f>+P81-T81</f>
        <v>136319.92969044068</v>
      </c>
      <c r="Y81" s="16"/>
      <c r="Z81" s="21">
        <f>IF(T81=0,0,X81/T81)</f>
        <v>1.915801776493683</v>
      </c>
    </row>
    <row r="82" spans="1:26" ht="15" customHeight="1" x14ac:dyDescent="0.25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25">
      <c r="A83" s="49"/>
      <c r="B83" s="11" t="s">
        <v>293</v>
      </c>
      <c r="C83" s="11"/>
      <c r="D83" s="5">
        <v>44753.760000000002</v>
      </c>
      <c r="E83" s="5"/>
      <c r="F83" s="13">
        <f>IF(D$12=0,0,D83/D$12)</f>
        <v>0.10813049052881855</v>
      </c>
      <c r="G83" s="5"/>
      <c r="H83" s="5">
        <v>49787</v>
      </c>
      <c r="I83" s="5"/>
      <c r="J83" s="13">
        <f>IF(H$12=0,0,H83/H$12)</f>
        <v>0.12834016446266078</v>
      </c>
      <c r="K83" s="5"/>
      <c r="L83" s="5">
        <f>+D83-H83</f>
        <v>-5033.239999999998</v>
      </c>
      <c r="M83" s="5"/>
      <c r="N83" s="13">
        <f>IF(H83=0,0,L83/H83)</f>
        <v>-0.10109546668809123</v>
      </c>
      <c r="O83" s="11"/>
      <c r="P83" s="5">
        <v>279310.01</v>
      </c>
      <c r="Q83" s="5"/>
      <c r="R83" s="13">
        <f>IF(P$12=0,0,P83/P$12)</f>
        <v>0.1124253551878942</v>
      </c>
      <c r="S83" s="5"/>
      <c r="T83" s="5">
        <v>270217</v>
      </c>
      <c r="U83" s="5"/>
      <c r="V83" s="13">
        <f>IF(T$12=0,0,T83/T$12)</f>
        <v>0.12396281716451289</v>
      </c>
      <c r="W83" s="5"/>
      <c r="X83" s="5">
        <f>+P83-T83</f>
        <v>9093.0100000000093</v>
      </c>
      <c r="Y83" s="5"/>
      <c r="Z83" s="13">
        <f>IF(T83=0,0,X83/T83)</f>
        <v>3.3650769566681629E-2</v>
      </c>
    </row>
    <row r="84" spans="1:26" ht="15" customHeight="1" x14ac:dyDescent="0.25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25">
      <c r="A85" s="11"/>
      <c r="B85" s="28" t="s">
        <v>294</v>
      </c>
      <c r="C85" s="28"/>
      <c r="D85" s="34">
        <f>+D81-D83</f>
        <v>9388.2199999999939</v>
      </c>
      <c r="E85" s="15"/>
      <c r="F85" s="32">
        <f>IF(D$12=0,0,D85/D$12)</f>
        <v>2.2683073641018413E-2</v>
      </c>
      <c r="G85" s="15"/>
      <c r="H85" s="34">
        <f>+H81-H83</f>
        <v>-23775.733476869998</v>
      </c>
      <c r="I85" s="15"/>
      <c r="J85" s="32">
        <f>IF(H$12=0,0,H85/H$12)</f>
        <v>-6.1288720843631579E-2</v>
      </c>
      <c r="K85" s="16"/>
      <c r="L85" s="34">
        <f>D85-H85</f>
        <v>33163.953476869996</v>
      </c>
      <c r="M85" s="16"/>
      <c r="N85" s="32">
        <f>IF(H85=0,0,L85/H85)</f>
        <v>-1.3948656309229426</v>
      </c>
      <c r="O85" s="27"/>
      <c r="P85" s="34">
        <f>+P81-P83</f>
        <v>-71834.529999999329</v>
      </c>
      <c r="Q85" s="15"/>
      <c r="R85" s="32">
        <f>IF(P$12=0,0,P85/P$12)</f>
        <v>-2.8914189469992021E-2</v>
      </c>
      <c r="S85" s="15"/>
      <c r="T85" s="34">
        <f>+T81-T83</f>
        <v>-199061.44969044</v>
      </c>
      <c r="U85" s="15"/>
      <c r="V85" s="32">
        <f>IF(T$12=0,0,T85/T$12)</f>
        <v>-9.1320006115377259E-2</v>
      </c>
      <c r="W85" s="16"/>
      <c r="X85" s="34">
        <f>P85-T85</f>
        <v>127226.91969044067</v>
      </c>
      <c r="Y85" s="16"/>
      <c r="Z85" s="32">
        <f>IF(T85=0,0,X85/T85)</f>
        <v>-0.63913389502734441</v>
      </c>
    </row>
    <row r="86" spans="1:26" ht="15" customHeight="1" x14ac:dyDescent="0.25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25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25">
      <c r="A88" s="11"/>
      <c r="B88" s="28" t="s">
        <v>297</v>
      </c>
      <c r="C88" s="28"/>
      <c r="D88" s="30">
        <f>SUM(D85:D87)</f>
        <v>9388.2199999999939</v>
      </c>
      <c r="E88" s="15"/>
      <c r="F88" s="33">
        <f>IF(D$12=0,0,D88/D$12)</f>
        <v>2.2683073641018413E-2</v>
      </c>
      <c r="G88" s="15"/>
      <c r="H88" s="30">
        <f>SUM(H85:H87)</f>
        <v>-23775.733476869998</v>
      </c>
      <c r="I88" s="15"/>
      <c r="J88" s="33">
        <f>IF(H$12=0,0,H88/H$12)</f>
        <v>-6.1288720843631579E-2</v>
      </c>
      <c r="K88" s="16"/>
      <c r="L88" s="30">
        <f>+D88-H88</f>
        <v>33163.953476869996</v>
      </c>
      <c r="M88" s="16"/>
      <c r="N88" s="33">
        <f>IF(H88=0,0,L88/H88)</f>
        <v>-1.3948656309229426</v>
      </c>
      <c r="O88" s="27"/>
      <c r="P88" s="30">
        <f>SUM(P85:P87)</f>
        <v>-71834.529999999329</v>
      </c>
      <c r="Q88" s="15"/>
      <c r="R88" s="33">
        <f>IF(P$12=0,0,P88/P$12)</f>
        <v>-2.8914189469992021E-2</v>
      </c>
      <c r="S88" s="15"/>
      <c r="T88" s="30">
        <f>SUM(T85:T87)</f>
        <v>-199061.44969044</v>
      </c>
      <c r="U88" s="15"/>
      <c r="V88" s="33">
        <f>IF(T$12=0,0,T88/T$12)</f>
        <v>-9.1320006115377259E-2</v>
      </c>
      <c r="W88" s="16"/>
      <c r="X88" s="30">
        <f>+P88-T88</f>
        <v>127226.91969044067</v>
      </c>
      <c r="Y88" s="16"/>
      <c r="Z88" s="33">
        <f>IF(T88=0,0,X88/T88)</f>
        <v>-0.63913389502734441</v>
      </c>
    </row>
    <row r="89" spans="1:26" ht="15" customHeight="1" x14ac:dyDescent="0.25">
      <c r="A89" s="10"/>
      <c r="C89" s="10"/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  <row r="90" spans="1:26" ht="15" customHeight="1" x14ac:dyDescent="0.25">
      <c r="A90" s="10"/>
      <c r="B90" s="54">
        <v>44727.874515277777</v>
      </c>
      <c r="D90" s="18"/>
      <c r="E90" s="18"/>
      <c r="G90" s="18"/>
      <c r="H90" s="18"/>
      <c r="I90" s="18"/>
      <c r="J90" s="40"/>
      <c r="K90" s="18"/>
      <c r="L90" s="18"/>
      <c r="M90" s="18"/>
      <c r="P90" s="18"/>
      <c r="Q90" s="18"/>
      <c r="R90" s="40"/>
      <c r="S90" s="18"/>
      <c r="T90" s="18"/>
      <c r="U90" s="18"/>
      <c r="V90" s="40"/>
      <c r="W90" s="18"/>
      <c r="X90" s="18"/>
    </row>
    <row r="91" spans="1:26" ht="15" customHeight="1" x14ac:dyDescent="0.25">
      <c r="A91" s="10"/>
      <c r="B91" s="50" t="s">
        <v>298</v>
      </c>
      <c r="D91" s="18"/>
      <c r="E91" s="18"/>
      <c r="G91" s="18"/>
      <c r="H91" s="18"/>
      <c r="I91" s="18"/>
      <c r="J91" s="40"/>
      <c r="K91" s="18"/>
      <c r="L91" s="18"/>
      <c r="M91" s="18"/>
      <c r="P91" s="18"/>
      <c r="Q91" s="18"/>
      <c r="R91" s="40"/>
      <c r="S91" s="18"/>
      <c r="T91" s="18"/>
      <c r="U91" s="18"/>
      <c r="V91" s="40"/>
      <c r="W91" s="18"/>
      <c r="X91" s="18"/>
    </row>
    <row r="92" spans="1:26" ht="15" customHeight="1" x14ac:dyDescent="0.25">
      <c r="A92" s="10"/>
      <c r="B92" s="58"/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25"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2F97F-7789-F4BE-FA5A-6113FAC7A254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","317"," - ","Computer Store")</f>
        <v>Department 317 - Computer Store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413886.58999999997</v>
      </c>
      <c r="E12" s="5"/>
      <c r="F12" s="13"/>
      <c r="G12" s="5"/>
      <c r="H12" s="5">
        <f>SUM(OSRRefH13x_0)</f>
        <v>387930</v>
      </c>
      <c r="I12" s="5"/>
      <c r="J12" s="13"/>
      <c r="K12" s="5"/>
      <c r="L12" s="5">
        <f t="shared" ref="L12:L17" si="0">+D12-H12</f>
        <v>25956.589999999967</v>
      </c>
      <c r="M12" s="5"/>
      <c r="N12" s="13">
        <f t="shared" ref="N12:N17" si="1">IF(H12=0,0,L12/H12)</f>
        <v>6.6910499316886987E-2</v>
      </c>
      <c r="O12" s="11"/>
      <c r="P12" s="5">
        <f>SUM(OSRRefP13x_0)</f>
        <v>2484404.0700000003</v>
      </c>
      <c r="Q12" s="5"/>
      <c r="R12" s="13"/>
      <c r="S12" s="5"/>
      <c r="T12" s="5">
        <f>SUM(OSRRefT13x_0)</f>
        <v>2179823</v>
      </c>
      <c r="U12" s="5"/>
      <c r="V12" s="13"/>
      <c r="W12" s="5"/>
      <c r="X12" s="5">
        <f t="shared" ref="X12:X17" si="2">+P12-T12</f>
        <v>304581.0700000003</v>
      </c>
      <c r="Y12" s="5"/>
      <c r="Z12" s="13">
        <f t="shared" ref="Z12:Z17" si="3">IF(T12=0,0,X12/T12)</f>
        <v>0.13972743199791923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--401850.18</f>
        <v>401850.18</v>
      </c>
      <c r="E13" s="3"/>
      <c r="F13" s="20"/>
      <c r="G13" s="3"/>
      <c r="H13" s="3">
        <v>371978</v>
      </c>
      <c r="I13" s="3"/>
      <c r="J13" s="20"/>
      <c r="K13" s="3"/>
      <c r="L13" s="3">
        <f t="shared" si="0"/>
        <v>29872.179999999993</v>
      </c>
      <c r="M13" s="3"/>
      <c r="N13" s="20">
        <f t="shared" si="1"/>
        <v>8.0306308437595758E-2</v>
      </c>
      <c r="O13" s="12"/>
      <c r="P13" s="3">
        <f>--2350458.37</f>
        <v>2350458.37</v>
      </c>
      <c r="Q13" s="3"/>
      <c r="R13" s="20"/>
      <c r="S13" s="3"/>
      <c r="T13" s="3">
        <v>2037311</v>
      </c>
      <c r="U13" s="3"/>
      <c r="V13" s="20"/>
      <c r="W13" s="3"/>
      <c r="X13" s="3">
        <f t="shared" si="2"/>
        <v>313147.37000000011</v>
      </c>
      <c r="Y13" s="3"/>
      <c r="Z13" s="20">
        <f t="shared" si="3"/>
        <v>0.1537062186381952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--42952.79</f>
        <v>42952.79</v>
      </c>
      <c r="E14" s="3"/>
      <c r="F14" s="20"/>
      <c r="G14" s="3"/>
      <c r="H14" s="3">
        <v>15952</v>
      </c>
      <c r="I14" s="3"/>
      <c r="J14" s="20"/>
      <c r="K14" s="3"/>
      <c r="L14" s="3">
        <f t="shared" si="0"/>
        <v>27000.79</v>
      </c>
      <c r="M14" s="3"/>
      <c r="N14" s="20">
        <f t="shared" si="1"/>
        <v>1.6926272567703109</v>
      </c>
      <c r="O14" s="12"/>
      <c r="P14" s="3">
        <f>--668586.79</f>
        <v>668586.79</v>
      </c>
      <c r="Q14" s="3"/>
      <c r="R14" s="20"/>
      <c r="S14" s="3"/>
      <c r="T14" s="3">
        <v>142512</v>
      </c>
      <c r="U14" s="3"/>
      <c r="V14" s="20"/>
      <c r="W14" s="3"/>
      <c r="X14" s="3">
        <f t="shared" si="2"/>
        <v>526074.79</v>
      </c>
      <c r="Y14" s="3"/>
      <c r="Z14" s="20">
        <f t="shared" si="3"/>
        <v>3.6914420540024704</v>
      </c>
    </row>
    <row r="15" spans="1:26" s="70" customFormat="1" ht="15" hidden="1" customHeight="1" outlineLevel="1" x14ac:dyDescent="0.25">
      <c r="A15" s="42"/>
      <c r="B15" s="12" t="str">
        <f>CONCATENATE("          ","4200"," - ","TAXABLE RETURNS")</f>
        <v xml:space="preserve">          4200 - TAXABLE RETURNS</v>
      </c>
      <c r="C15" s="12"/>
      <c r="D15" s="3">
        <f>-30771.81</f>
        <v>-30771.81</v>
      </c>
      <c r="E15" s="3"/>
      <c r="F15" s="20"/>
      <c r="G15" s="3"/>
      <c r="H15" s="3"/>
      <c r="I15" s="3"/>
      <c r="J15" s="20"/>
      <c r="K15" s="3"/>
      <c r="L15" s="3">
        <f t="shared" si="0"/>
        <v>-30771.81</v>
      </c>
      <c r="M15" s="3"/>
      <c r="N15" s="20">
        <f t="shared" si="1"/>
        <v>0</v>
      </c>
      <c r="O15" s="12"/>
      <c r="P15" s="3">
        <f>-532091.76</f>
        <v>-532091.76</v>
      </c>
      <c r="Q15" s="3"/>
      <c r="R15" s="20"/>
      <c r="S15" s="3"/>
      <c r="T15" s="3"/>
      <c r="U15" s="3"/>
      <c r="V15" s="20"/>
      <c r="W15" s="3"/>
      <c r="X15" s="3">
        <f t="shared" si="2"/>
        <v>-532091.76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","4500"," - ","SALES DISCOUNT")</f>
        <v xml:space="preserve">          4500 - SALES DISCOUNT</v>
      </c>
      <c r="C17" s="12"/>
      <c r="D17" s="3">
        <f>-144.57</f>
        <v>-144.57</v>
      </c>
      <c r="E17" s="3"/>
      <c r="F17" s="20"/>
      <c r="G17" s="3"/>
      <c r="H17" s="3"/>
      <c r="I17" s="3"/>
      <c r="J17" s="20"/>
      <c r="K17" s="3"/>
      <c r="L17" s="3">
        <f t="shared" si="0"/>
        <v>-144.57</v>
      </c>
      <c r="M17" s="3"/>
      <c r="N17" s="20">
        <f t="shared" si="1"/>
        <v>0</v>
      </c>
      <c r="O17" s="12"/>
      <c r="P17" s="3">
        <f>-1434.81</f>
        <v>-1434.81</v>
      </c>
      <c r="Q17" s="3"/>
      <c r="R17" s="20"/>
      <c r="S17" s="3"/>
      <c r="T17" s="3"/>
      <c r="U17" s="3"/>
      <c r="V17" s="20"/>
      <c r="W17" s="3"/>
      <c r="X17" s="3">
        <f t="shared" si="2"/>
        <v>-1434.81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340796.54</v>
      </c>
      <c r="E19" s="5"/>
      <c r="F19" s="13">
        <f t="shared" ref="F19:F29" si="4">IF(D$12=0,0,D19/D$12)</f>
        <v>0.82340560973478272</v>
      </c>
      <c r="G19" s="5"/>
      <c r="H19" s="5">
        <f>SUM(OSRRefH16x_0)</f>
        <v>347197</v>
      </c>
      <c r="I19" s="5"/>
      <c r="J19" s="13">
        <f t="shared" ref="J19:J29" si="5">IF(H$12=0,0,H19/H$12)</f>
        <v>0.8949990977753719</v>
      </c>
      <c r="K19" s="5"/>
      <c r="L19" s="5">
        <f t="shared" ref="L19:L29" si="6">+D19-H19</f>
        <v>-6400.460000000021</v>
      </c>
      <c r="M19" s="5"/>
      <c r="N19" s="13">
        <f t="shared" ref="N19:N29" si="7">IF(H19=0,0,L19/H19)</f>
        <v>-1.843466389398532E-2</v>
      </c>
      <c r="O19" s="11"/>
      <c r="P19" s="5">
        <f>SUM(OSRRefP16x_0)</f>
        <v>2109390.0799999996</v>
      </c>
      <c r="Q19" s="5"/>
      <c r="R19" s="13">
        <f t="shared" ref="R19:R29" si="8">IF(P$12=0,0,P19/P$12)</f>
        <v>0.84905273883245547</v>
      </c>
      <c r="S19" s="5"/>
      <c r="T19" s="5">
        <f>SUM(OSRRefT16x_0)</f>
        <v>1950938</v>
      </c>
      <c r="U19" s="5"/>
      <c r="V19" s="13">
        <f t="shared" ref="V19:V29" si="9">IF(T$12=0,0,T19/T$12)</f>
        <v>0.89499835537105532</v>
      </c>
      <c r="W19" s="5"/>
      <c r="X19" s="5">
        <f t="shared" ref="X19:X29" si="10">+P19-T19</f>
        <v>158452.07999999961</v>
      </c>
      <c r="Y19" s="5"/>
      <c r="Z19" s="13">
        <f t="shared" ref="Z19:Z29" si="11">IF(T19=0,0,X19/T19)</f>
        <v>8.1218408785927385E-2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>
        <v>465659.54</v>
      </c>
      <c r="E20" s="3"/>
      <c r="F20" s="20">
        <f t="shared" si="4"/>
        <v>1.1250897015049461</v>
      </c>
      <c r="G20" s="3"/>
      <c r="H20" s="3">
        <v>347197</v>
      </c>
      <c r="I20" s="3"/>
      <c r="J20" s="20">
        <f t="shared" si="5"/>
        <v>0.8949990977753719</v>
      </c>
      <c r="K20" s="3"/>
      <c r="L20" s="3">
        <f t="shared" si="6"/>
        <v>118462.53999999998</v>
      </c>
      <c r="M20" s="3"/>
      <c r="N20" s="20">
        <f t="shared" si="7"/>
        <v>0.34119689974279727</v>
      </c>
      <c r="O20" s="12"/>
      <c r="P20" s="3">
        <v>2223758.7599999998</v>
      </c>
      <c r="Q20" s="3"/>
      <c r="R20" s="20">
        <f t="shared" si="8"/>
        <v>0.89508739212458277</v>
      </c>
      <c r="S20" s="3"/>
      <c r="T20" s="3">
        <v>1950938</v>
      </c>
      <c r="U20" s="3"/>
      <c r="V20" s="20">
        <f t="shared" si="9"/>
        <v>0.89499835537105532</v>
      </c>
      <c r="W20" s="3"/>
      <c r="X20" s="3">
        <f t="shared" si="10"/>
        <v>272820.75999999978</v>
      </c>
      <c r="Y20" s="3"/>
      <c r="Z20" s="20">
        <f t="shared" si="11"/>
        <v>0.13984081503358886</v>
      </c>
    </row>
    <row r="21" spans="1:26" s="70" customFormat="1" ht="15" hidden="1" customHeight="1" outlineLevel="1" x14ac:dyDescent="0.25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25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>
        <v>-10189.709999999999</v>
      </c>
      <c r="E22" s="3"/>
      <c r="F22" s="20">
        <f t="shared" si="4"/>
        <v>-2.4619570303062971E-2</v>
      </c>
      <c r="G22" s="3"/>
      <c r="H22" s="3"/>
      <c r="I22" s="3"/>
      <c r="J22" s="20">
        <f t="shared" si="5"/>
        <v>0</v>
      </c>
      <c r="K22" s="3"/>
      <c r="L22" s="3">
        <f t="shared" si="6"/>
        <v>-10189.709999999999</v>
      </c>
      <c r="M22" s="3"/>
      <c r="N22" s="20">
        <f t="shared" si="7"/>
        <v>0</v>
      </c>
      <c r="O22" s="12"/>
      <c r="P22" s="3">
        <v>-120382.97</v>
      </c>
      <c r="Q22" s="3"/>
      <c r="R22" s="20">
        <f t="shared" si="8"/>
        <v>-4.8455471255124768E-2</v>
      </c>
      <c r="S22" s="3"/>
      <c r="T22" s="3"/>
      <c r="U22" s="3"/>
      <c r="V22" s="20">
        <f t="shared" si="9"/>
        <v>0</v>
      </c>
      <c r="W22" s="3"/>
      <c r="X22" s="3">
        <f t="shared" si="10"/>
        <v>-120382.97</v>
      </c>
      <c r="Y22" s="3"/>
      <c r="Z22" s="20">
        <f t="shared" si="11"/>
        <v>0</v>
      </c>
    </row>
    <row r="23" spans="1:26" s="70" customFormat="1" ht="15" hidden="1" customHeight="1" outlineLevel="1" x14ac:dyDescent="0.25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25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25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25">
      <c r="A26" s="42"/>
      <c r="B26" s="12" t="str">
        <f>CONCATENATE("          ","5200"," - ","PURCHASES OFFSET")</f>
        <v xml:space="preserve">          5200 - PURCHASES OFFSET</v>
      </c>
      <c r="C26" s="12"/>
      <c r="D26" s="3">
        <v>-465659.54</v>
      </c>
      <c r="E26" s="3"/>
      <c r="F26" s="20">
        <f t="shared" si="4"/>
        <v>-1.1250897015049461</v>
      </c>
      <c r="G26" s="3"/>
      <c r="H26" s="3"/>
      <c r="I26" s="3"/>
      <c r="J26" s="20">
        <f t="shared" si="5"/>
        <v>0</v>
      </c>
      <c r="K26" s="3"/>
      <c r="L26" s="3">
        <f t="shared" si="6"/>
        <v>-465659.54</v>
      </c>
      <c r="M26" s="3"/>
      <c r="N26" s="20">
        <f t="shared" si="7"/>
        <v>0</v>
      </c>
      <c r="O26" s="12"/>
      <c r="P26" s="3">
        <v>-2223961.88</v>
      </c>
      <c r="Q26" s="3"/>
      <c r="R26" s="20">
        <f t="shared" si="8"/>
        <v>-0.89516915016163201</v>
      </c>
      <c r="S26" s="3"/>
      <c r="T26" s="3"/>
      <c r="U26" s="3"/>
      <c r="V26" s="20">
        <f t="shared" si="9"/>
        <v>0</v>
      </c>
      <c r="W26" s="3"/>
      <c r="X26" s="3">
        <f t="shared" si="10"/>
        <v>-2223961.88</v>
      </c>
      <c r="Y26" s="3"/>
      <c r="Z26" s="20">
        <f t="shared" si="11"/>
        <v>0</v>
      </c>
    </row>
    <row r="27" spans="1:26" s="70" customFormat="1" ht="15" hidden="1" customHeight="1" outlineLevel="1" x14ac:dyDescent="0.25">
      <c r="A27" s="42"/>
      <c r="B27" s="12" t="str">
        <f>CONCATENATE("          ","5300"," - ","COG$ OFFSET")</f>
        <v xml:space="preserve">          5300 - COG$ OFFSET</v>
      </c>
      <c r="C27" s="12"/>
      <c r="D27" s="3">
        <v>350986.25</v>
      </c>
      <c r="E27" s="3"/>
      <c r="F27" s="20">
        <f t="shared" si="4"/>
        <v>0.84802518003784566</v>
      </c>
      <c r="G27" s="3"/>
      <c r="H27" s="3"/>
      <c r="I27" s="3"/>
      <c r="J27" s="20">
        <f t="shared" si="5"/>
        <v>0</v>
      </c>
      <c r="K27" s="3"/>
      <c r="L27" s="3">
        <f t="shared" si="6"/>
        <v>350986.25</v>
      </c>
      <c r="M27" s="3"/>
      <c r="N27" s="20">
        <f t="shared" si="7"/>
        <v>0</v>
      </c>
      <c r="O27" s="12"/>
      <c r="P27" s="3">
        <v>2229773.0499999998</v>
      </c>
      <c r="Q27" s="3"/>
      <c r="R27" s="20">
        <f t="shared" si="8"/>
        <v>0.8975082100875803</v>
      </c>
      <c r="S27" s="3"/>
      <c r="T27" s="3"/>
      <c r="U27" s="3"/>
      <c r="V27" s="20">
        <f t="shared" si="9"/>
        <v>0</v>
      </c>
      <c r="W27" s="3"/>
      <c r="X27" s="3">
        <f t="shared" si="10"/>
        <v>2229773.0499999998</v>
      </c>
      <c r="Y27" s="3"/>
      <c r="Z27" s="20">
        <f t="shared" si="11"/>
        <v>0</v>
      </c>
    </row>
    <row r="28" spans="1:26" s="70" customFormat="1" ht="15" hidden="1" customHeight="1" outlineLevel="1" x14ac:dyDescent="0.25">
      <c r="A28" s="42"/>
      <c r="B28" s="12" t="str">
        <f>CONCATENATE("          ","5500"," - ","FREIGHT-IN")</f>
        <v xml:space="preserve">          5500 - FREIGHT-IN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203.12</v>
      </c>
      <c r="Q28" s="3"/>
      <c r="R28" s="20">
        <f t="shared" si="8"/>
        <v>8.1758037049102066E-5</v>
      </c>
      <c r="S28" s="3"/>
      <c r="T28" s="3"/>
      <c r="U28" s="3"/>
      <c r="V28" s="20">
        <f t="shared" si="9"/>
        <v>0</v>
      </c>
      <c r="W28" s="3"/>
      <c r="X28" s="3">
        <f t="shared" si="10"/>
        <v>203.12</v>
      </c>
      <c r="Y28" s="3"/>
      <c r="Z28" s="20">
        <f t="shared" si="11"/>
        <v>0</v>
      </c>
    </row>
    <row r="29" spans="1:26" s="70" customFormat="1" ht="15" hidden="1" customHeight="1" outlineLevel="1" x14ac:dyDescent="0.25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289</v>
      </c>
      <c r="C31" s="28"/>
      <c r="D31" s="22">
        <f>D12-D19</f>
        <v>73090.049999999988</v>
      </c>
      <c r="E31" s="15"/>
      <c r="F31" s="21">
        <f>IF(D$12=0,0,D31/D$12)</f>
        <v>0.17659439026521734</v>
      </c>
      <c r="G31" s="15"/>
      <c r="H31" s="22">
        <f>H12-H19</f>
        <v>40733</v>
      </c>
      <c r="I31" s="15"/>
      <c r="J31" s="21">
        <f>IF(H$12=0,0,H31/H$12)</f>
        <v>0.10500090222462816</v>
      </c>
      <c r="K31" s="16"/>
      <c r="L31" s="22">
        <f>+D31-H31</f>
        <v>32357.049999999988</v>
      </c>
      <c r="M31" s="16"/>
      <c r="N31" s="21">
        <f>IF(H31=0,0,L31/H31)</f>
        <v>0.79436943019173611</v>
      </c>
      <c r="O31" s="27"/>
      <c r="P31" s="22">
        <f>P12-P19</f>
        <v>375013.99000000069</v>
      </c>
      <c r="Q31" s="15"/>
      <c r="R31" s="21">
        <f>IF(P$12=0,0,P31/P$12)</f>
        <v>0.15094726116754456</v>
      </c>
      <c r="S31" s="15"/>
      <c r="T31" s="22">
        <f>T12-T19</f>
        <v>228885</v>
      </c>
      <c r="U31" s="15"/>
      <c r="V31" s="21">
        <f>IF(T$12=0,0,T31/T$12)</f>
        <v>0.10500164462894464</v>
      </c>
      <c r="W31" s="16"/>
      <c r="X31" s="22">
        <f>+P31-T31</f>
        <v>146128.99000000069</v>
      </c>
      <c r="Y31" s="16"/>
      <c r="Z31" s="21">
        <f>IF(T31=0,0,X31/T31)</f>
        <v>0.63843847346921245</v>
      </c>
    </row>
    <row r="32" spans="1:26" ht="15" customHeight="1" x14ac:dyDescent="0.25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25">
      <c r="A33" s="11"/>
      <c r="B33" s="27" t="s">
        <v>290</v>
      </c>
      <c r="C33" s="11"/>
      <c r="D33" s="23" cm="1">
        <f t="array" ref="D33">SUM(OSRRefD22x_0)</f>
        <v>17874.759999999998</v>
      </c>
      <c r="E33" s="23"/>
      <c r="F33" s="31">
        <f t="shared" ref="F33:F74" si="12">IF(D$12=0,0,D33/D$12)</f>
        <v>4.3187579476783727E-2</v>
      </c>
      <c r="G33" s="23"/>
      <c r="H33" s="23" cm="1">
        <f t="array" ref="H33">SUM(OSRRefH22x_0)</f>
        <v>15550.733476869998</v>
      </c>
      <c r="I33" s="23"/>
      <c r="J33" s="31">
        <f t="shared" ref="J33:J74" si="13">IF(H$12=0,0,H33/H$12)</f>
        <v>4.0086442081999324E-2</v>
      </c>
      <c r="K33" s="5"/>
      <c r="L33" s="23">
        <f t="shared" ref="L33:L74" si="14">+D33-H33</f>
        <v>2324.02652313</v>
      </c>
      <c r="M33" s="5"/>
      <c r="N33" s="31">
        <f t="shared" ref="N33:N74" si="15">IF(H33=0,0,L33/H33)</f>
        <v>0.14944803256944331</v>
      </c>
      <c r="O33" s="11"/>
      <c r="P33" s="23" cm="1">
        <f t="array" ref="P33">SUM(OSRRefP22x_0)</f>
        <v>171303.28</v>
      </c>
      <c r="Q33" s="23"/>
      <c r="R33" s="31">
        <f t="shared" ref="R33:R74" si="16">IF(P$12=0,0,P33/P$12)</f>
        <v>6.8951456837695477E-2</v>
      </c>
      <c r="S33" s="23"/>
      <c r="T33" s="23" cm="1">
        <f t="array" ref="T33">SUM(OSRRefT22x_0)</f>
        <v>175305.44969044</v>
      </c>
      <c r="U33" s="23"/>
      <c r="V33" s="31">
        <f t="shared" ref="V33:V74" si="17">IF(T$12=0,0,T33/T$12)</f>
        <v>8.0421873560578089E-2</v>
      </c>
      <c r="W33" s="5"/>
      <c r="X33" s="23">
        <f t="shared" ref="X33:X74" si="18">+P33-T33</f>
        <v>-4002.1696904400014</v>
      </c>
      <c r="Y33" s="5"/>
      <c r="Z33" s="31">
        <f t="shared" ref="Z33:Z74" si="19">IF(T33=0,0,X33/T33)</f>
        <v>-2.2829693529249441E-2</v>
      </c>
    </row>
    <row r="34" spans="1:26" s="69" customFormat="1" ht="15" customHeight="1" outlineLevel="1" collapsed="1" x14ac:dyDescent="0.25">
      <c r="A34" s="26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3621.6</v>
      </c>
      <c r="E34" s="2"/>
      <c r="F34" s="6">
        <f t="shared" si="12"/>
        <v>8.7502230985546069E-3</v>
      </c>
      <c r="G34" s="2"/>
      <c r="H34" s="2">
        <f>SUM(OSRRefH22_0x_0)</f>
        <v>2563.2229268699998</v>
      </c>
      <c r="I34" s="2"/>
      <c r="J34" s="6">
        <f t="shared" si="13"/>
        <v>6.6074367202072536E-3</v>
      </c>
      <c r="K34" s="2"/>
      <c r="L34" s="2">
        <f t="shared" si="14"/>
        <v>1058.3770731300001</v>
      </c>
      <c r="M34" s="2"/>
      <c r="N34" s="6">
        <f t="shared" si="15"/>
        <v>0.41290871037206445</v>
      </c>
      <c r="O34" s="14"/>
      <c r="P34" s="2">
        <f>SUM(OSRRefP22_0x_0)</f>
        <v>30787.950000000004</v>
      </c>
      <c r="Q34" s="2"/>
      <c r="R34" s="6">
        <f t="shared" si="16"/>
        <v>1.2392488956114132E-2</v>
      </c>
      <c r="S34" s="2"/>
      <c r="T34" s="2">
        <f>SUM(OSRRefT22_0x_0)</f>
        <v>31003.883090440002</v>
      </c>
      <c r="U34" s="2"/>
      <c r="V34" s="6">
        <f t="shared" si="17"/>
        <v>1.4223119533301559E-2</v>
      </c>
      <c r="W34" s="2"/>
      <c r="X34" s="2">
        <f t="shared" si="18"/>
        <v>-215.93309043999761</v>
      </c>
      <c r="Y34" s="2"/>
      <c r="Z34" s="6">
        <f t="shared" si="19"/>
        <v>-6.9647111560222673E-3</v>
      </c>
    </row>
    <row r="35" spans="1:26" s="70" customFormat="1" ht="15" hidden="1" customHeight="1" outlineLevel="2" x14ac:dyDescent="0.25">
      <c r="A35" s="25"/>
      <c r="B35" s="12" t="str">
        <f>CONCATENATE("          ","6111"," - ","F.I.C.A.")</f>
        <v xml:space="preserve">          6111 - F.I.C.A.</v>
      </c>
      <c r="C35" s="12"/>
      <c r="D35" s="8">
        <v>740.15</v>
      </c>
      <c r="E35" s="3"/>
      <c r="F35" s="7">
        <f t="shared" si="12"/>
        <v>1.7882918120154607E-3</v>
      </c>
      <c r="G35" s="3"/>
      <c r="H35" s="8">
        <v>457.37151956999998</v>
      </c>
      <c r="I35" s="3"/>
      <c r="J35" s="7">
        <f t="shared" si="13"/>
        <v>1.1790052833500889E-3</v>
      </c>
      <c r="K35" s="3"/>
      <c r="L35" s="8">
        <f t="shared" si="14"/>
        <v>282.77848043</v>
      </c>
      <c r="M35" s="3"/>
      <c r="N35" s="7">
        <f t="shared" si="15"/>
        <v>0.61826866853418316</v>
      </c>
      <c r="O35" s="12"/>
      <c r="P35" s="8">
        <v>6494.3</v>
      </c>
      <c r="Q35" s="3"/>
      <c r="R35" s="7">
        <f t="shared" si="16"/>
        <v>2.6140272745568314E-3</v>
      </c>
      <c r="S35" s="3"/>
      <c r="T35" s="8">
        <v>6267.2275148400004</v>
      </c>
      <c r="U35" s="3"/>
      <c r="V35" s="7">
        <f t="shared" si="17"/>
        <v>2.8751084445113205E-3</v>
      </c>
      <c r="W35" s="3"/>
      <c r="X35" s="8">
        <f t="shared" si="18"/>
        <v>227.07248515999981</v>
      </c>
      <c r="Y35" s="3"/>
      <c r="Z35" s="7">
        <f t="shared" si="19"/>
        <v>3.6231728403400221E-2</v>
      </c>
    </row>
    <row r="36" spans="1:26" s="70" customFormat="1" ht="15" hidden="1" customHeight="1" outlineLevel="2" x14ac:dyDescent="0.25">
      <c r="A36" s="25"/>
      <c r="B36" s="12" t="str">
        <f>CONCATENATE("          ","6112"," - ","COMPENSATION INSURANCE")</f>
        <v xml:space="preserve">          6112 - COMPENSATION INSURANCE</v>
      </c>
      <c r="C36" s="12"/>
      <c r="D36" s="8">
        <v>265.42</v>
      </c>
      <c r="E36" s="3"/>
      <c r="F36" s="7">
        <f t="shared" si="12"/>
        <v>6.4128678341571796E-4</v>
      </c>
      <c r="G36" s="3"/>
      <c r="H36" s="8">
        <v>160.46673240000001</v>
      </c>
      <c r="I36" s="3"/>
      <c r="J36" s="7">
        <f t="shared" si="13"/>
        <v>4.136486799164798E-4</v>
      </c>
      <c r="K36" s="3"/>
      <c r="L36" s="8">
        <f t="shared" si="14"/>
        <v>104.9532676</v>
      </c>
      <c r="M36" s="3"/>
      <c r="N36" s="7">
        <f t="shared" si="15"/>
        <v>0.6540500079379693</v>
      </c>
      <c r="O36" s="12"/>
      <c r="P36" s="8">
        <v>1712.32</v>
      </c>
      <c r="Q36" s="3"/>
      <c r="R36" s="7">
        <f t="shared" si="16"/>
        <v>6.8922765852657761E-4</v>
      </c>
      <c r="S36" s="3"/>
      <c r="T36" s="8">
        <v>1973.9832527999999</v>
      </c>
      <c r="U36" s="3"/>
      <c r="V36" s="7">
        <f t="shared" si="17"/>
        <v>9.0557043062670678E-4</v>
      </c>
      <c r="W36" s="3"/>
      <c r="X36" s="8">
        <f t="shared" si="18"/>
        <v>-261.66325280000001</v>
      </c>
      <c r="Y36" s="3"/>
      <c r="Z36" s="7">
        <f t="shared" si="19"/>
        <v>-0.1325559639013367</v>
      </c>
    </row>
    <row r="37" spans="1:26" s="70" customFormat="1" ht="15" hidden="1" customHeight="1" outlineLevel="2" x14ac:dyDescent="0.25">
      <c r="A37" s="25"/>
      <c r="B37" s="12" t="str">
        <f>CONCATENATE("          ","6113"," - ","GROUP INSURANCE")</f>
        <v xml:space="preserve">          6113 - GROUP INSURANCE</v>
      </c>
      <c r="C37" s="12"/>
      <c r="D37" s="8">
        <v>1540.43</v>
      </c>
      <c r="E37" s="3"/>
      <c r="F37" s="7">
        <f t="shared" si="12"/>
        <v>3.7218649678889093E-3</v>
      </c>
      <c r="G37" s="3"/>
      <c r="H37" s="8">
        <v>943.5</v>
      </c>
      <c r="I37" s="3"/>
      <c r="J37" s="7">
        <f t="shared" si="13"/>
        <v>2.4321398190395175E-3</v>
      </c>
      <c r="K37" s="3"/>
      <c r="L37" s="8">
        <f t="shared" si="14"/>
        <v>596.93000000000006</v>
      </c>
      <c r="M37" s="3"/>
      <c r="N37" s="7">
        <f t="shared" si="15"/>
        <v>0.63267620561738214</v>
      </c>
      <c r="O37" s="12"/>
      <c r="P37" s="8">
        <v>11447.32</v>
      </c>
      <c r="Q37" s="3"/>
      <c r="R37" s="7">
        <f t="shared" si="16"/>
        <v>4.607672374325163E-3</v>
      </c>
      <c r="S37" s="3"/>
      <c r="T37" s="8">
        <v>10990.5</v>
      </c>
      <c r="U37" s="3"/>
      <c r="V37" s="7">
        <f t="shared" si="17"/>
        <v>5.0419231286209934E-3</v>
      </c>
      <c r="W37" s="3"/>
      <c r="X37" s="8">
        <f t="shared" si="18"/>
        <v>456.81999999999971</v>
      </c>
      <c r="Y37" s="3"/>
      <c r="Z37" s="7">
        <f t="shared" si="19"/>
        <v>4.1564987944133547E-2</v>
      </c>
    </row>
    <row r="38" spans="1:26" s="70" customFormat="1" ht="15" hidden="1" customHeight="1" outlineLevel="2" x14ac:dyDescent="0.25">
      <c r="A38" s="25"/>
      <c r="B38" s="12" t="str">
        <f>CONCATENATE("          ","6114"," - ","STATE UNEMPLOYMENT INSURANCE")</f>
        <v xml:space="preserve">          6114 - STATE UNEMPLOYMENT INSURANCE</v>
      </c>
      <c r="C38" s="12"/>
      <c r="D38" s="8">
        <v>46.63</v>
      </c>
      <c r="E38" s="3"/>
      <c r="F38" s="7">
        <f t="shared" si="12"/>
        <v>1.1266371302341545E-4</v>
      </c>
      <c r="G38" s="3"/>
      <c r="H38" s="8">
        <v>21.601290899999999</v>
      </c>
      <c r="I38" s="3"/>
      <c r="J38" s="7">
        <f t="shared" si="13"/>
        <v>5.5683476142603042E-5</v>
      </c>
      <c r="K38" s="3"/>
      <c r="L38" s="8">
        <f t="shared" si="14"/>
        <v>25.028709100000004</v>
      </c>
      <c r="M38" s="3"/>
      <c r="N38" s="7">
        <f t="shared" si="15"/>
        <v>1.1586672859444713</v>
      </c>
      <c r="O38" s="12"/>
      <c r="P38" s="8">
        <v>301.5</v>
      </c>
      <c r="Q38" s="3"/>
      <c r="R38" s="7">
        <f t="shared" si="16"/>
        <v>1.2135707055092691E-4</v>
      </c>
      <c r="S38" s="3"/>
      <c r="T38" s="8">
        <v>265.72851480000003</v>
      </c>
      <c r="U38" s="3"/>
      <c r="V38" s="7">
        <f t="shared" si="17"/>
        <v>1.2190371181513363E-4</v>
      </c>
      <c r="W38" s="3"/>
      <c r="X38" s="8">
        <f t="shared" si="18"/>
        <v>35.771485199999972</v>
      </c>
      <c r="Y38" s="3"/>
      <c r="Z38" s="7">
        <f t="shared" si="19"/>
        <v>0.13461666026667593</v>
      </c>
    </row>
    <row r="39" spans="1:26" s="70" customFormat="1" ht="15" hidden="1" customHeight="1" outlineLevel="2" x14ac:dyDescent="0.25">
      <c r="A39" s="25"/>
      <c r="B39" s="12" t="str">
        <f>CONCATENATE("          ","6115"," - ","P.E.R.S.")</f>
        <v xml:space="preserve">          6115 - P.E.R.S.</v>
      </c>
      <c r="C39" s="12"/>
      <c r="D39" s="8">
        <v>123.87</v>
      </c>
      <c r="E39" s="3"/>
      <c r="F39" s="7">
        <f t="shared" si="12"/>
        <v>2.9928488381322045E-4</v>
      </c>
      <c r="G39" s="3"/>
      <c r="H39" s="8">
        <v>202.166134</v>
      </c>
      <c r="I39" s="3"/>
      <c r="J39" s="7">
        <f t="shared" si="13"/>
        <v>5.2114075735313074E-4</v>
      </c>
      <c r="K39" s="3"/>
      <c r="L39" s="8">
        <f t="shared" si="14"/>
        <v>-78.296133999999995</v>
      </c>
      <c r="M39" s="3"/>
      <c r="N39" s="7">
        <f t="shared" si="15"/>
        <v>-0.38728610203329106</v>
      </c>
      <c r="O39" s="12"/>
      <c r="P39" s="8">
        <v>1342.16</v>
      </c>
      <c r="Q39" s="3"/>
      <c r="R39" s="7">
        <f t="shared" si="16"/>
        <v>5.402341817931412E-4</v>
      </c>
      <c r="S39" s="3"/>
      <c r="T39" s="8">
        <v>2425.9936080000002</v>
      </c>
      <c r="U39" s="3"/>
      <c r="V39" s="7">
        <f t="shared" si="17"/>
        <v>1.1129314664539277E-3</v>
      </c>
      <c r="W39" s="3"/>
      <c r="X39" s="8">
        <f t="shared" si="18"/>
        <v>-1083.8336080000001</v>
      </c>
      <c r="Y39" s="3"/>
      <c r="Z39" s="7">
        <f t="shared" si="19"/>
        <v>-0.44675864125360054</v>
      </c>
    </row>
    <row r="40" spans="1:26" s="70" customFormat="1" ht="15" hidden="1" customHeight="1" outlineLevel="2" x14ac:dyDescent="0.25">
      <c r="A40" s="25"/>
      <c r="B40" s="12" t="str">
        <f>CONCATENATE("          ","6116"," - ","EDUCATIONAL BENEFITS")</f>
        <v xml:space="preserve">          6116 - EDUCATIONAL BENEFITS</v>
      </c>
      <c r="C40" s="12"/>
      <c r="D40" s="8"/>
      <c r="E40" s="3"/>
      <c r="F40" s="7">
        <f t="shared" si="12"/>
        <v>0</v>
      </c>
      <c r="G40" s="3"/>
      <c r="H40" s="8">
        <v>0</v>
      </c>
      <c r="I40" s="3"/>
      <c r="J40" s="7">
        <f t="shared" si="13"/>
        <v>0</v>
      </c>
      <c r="K40" s="3"/>
      <c r="L40" s="8">
        <f t="shared" si="14"/>
        <v>0</v>
      </c>
      <c r="M40" s="3"/>
      <c r="N40" s="7">
        <f t="shared" si="15"/>
        <v>0</v>
      </c>
      <c r="O40" s="12"/>
      <c r="P40" s="8"/>
      <c r="Q40" s="3"/>
      <c r="R40" s="7">
        <f t="shared" si="16"/>
        <v>0</v>
      </c>
      <c r="S40" s="3"/>
      <c r="T40" s="8">
        <v>0</v>
      </c>
      <c r="U40" s="3"/>
      <c r="V40" s="7">
        <f t="shared" si="17"/>
        <v>0</v>
      </c>
      <c r="W40" s="3"/>
      <c r="X40" s="8">
        <f t="shared" si="18"/>
        <v>0</v>
      </c>
      <c r="Y40" s="3"/>
      <c r="Z40" s="7">
        <f t="shared" si="19"/>
        <v>0</v>
      </c>
    </row>
    <row r="41" spans="1:26" s="70" customFormat="1" ht="15" hidden="1" customHeight="1" outlineLevel="2" x14ac:dyDescent="0.25">
      <c r="A41" s="25"/>
      <c r="B41" s="12" t="str">
        <f>CONCATENATE("          ","6117"," - ","RETIREMENT STAFF HOURLY")</f>
        <v xml:space="preserve">          6117 - RETIREMENT STAFF HOURLY</v>
      </c>
      <c r="C41" s="12"/>
      <c r="D41" s="8">
        <v>206.33</v>
      </c>
      <c r="E41" s="3"/>
      <c r="F41" s="7">
        <f t="shared" si="12"/>
        <v>4.9851820519239344E-4</v>
      </c>
      <c r="G41" s="3"/>
      <c r="H41" s="8"/>
      <c r="I41" s="3"/>
      <c r="J41" s="7">
        <f t="shared" si="13"/>
        <v>0</v>
      </c>
      <c r="K41" s="3"/>
      <c r="L41" s="8">
        <f t="shared" si="14"/>
        <v>206.33</v>
      </c>
      <c r="M41" s="3"/>
      <c r="N41" s="7">
        <f t="shared" si="15"/>
        <v>0</v>
      </c>
      <c r="O41" s="12"/>
      <c r="P41" s="8">
        <v>366.45</v>
      </c>
      <c r="Q41" s="3"/>
      <c r="R41" s="7">
        <f t="shared" si="16"/>
        <v>1.4750016087358928E-4</v>
      </c>
      <c r="S41" s="3"/>
      <c r="T41" s="8"/>
      <c r="U41" s="3"/>
      <c r="V41" s="7">
        <f t="shared" si="17"/>
        <v>0</v>
      </c>
      <c r="W41" s="3"/>
      <c r="X41" s="8">
        <f t="shared" si="18"/>
        <v>366.45</v>
      </c>
      <c r="Y41" s="3"/>
      <c r="Z41" s="7">
        <f t="shared" si="19"/>
        <v>0</v>
      </c>
    </row>
    <row r="42" spans="1:26" s="70" customFormat="1" ht="15" hidden="1" customHeight="1" outlineLevel="2" x14ac:dyDescent="0.25">
      <c r="A42" s="25"/>
      <c r="B42" s="12" t="str">
        <f>CONCATENATE("          ","6118"," - ","VACATION")</f>
        <v xml:space="preserve">          6118 - VACATION</v>
      </c>
      <c r="C42" s="12"/>
      <c r="D42" s="8">
        <v>197.61</v>
      </c>
      <c r="E42" s="3"/>
      <c r="F42" s="7">
        <f t="shared" si="12"/>
        <v>4.7744963179406229E-4</v>
      </c>
      <c r="G42" s="3"/>
      <c r="H42" s="8">
        <v>179.29106999999999</v>
      </c>
      <c r="I42" s="3"/>
      <c r="J42" s="7">
        <f t="shared" si="13"/>
        <v>4.6217376846338252E-4</v>
      </c>
      <c r="K42" s="3"/>
      <c r="L42" s="8">
        <f t="shared" si="14"/>
        <v>18.318930000000023</v>
      </c>
      <c r="M42" s="3"/>
      <c r="N42" s="7">
        <f t="shared" si="15"/>
        <v>0.10217424660358167</v>
      </c>
      <c r="O42" s="12"/>
      <c r="P42" s="8">
        <v>3128.95</v>
      </c>
      <c r="Q42" s="3"/>
      <c r="R42" s="7">
        <f t="shared" si="16"/>
        <v>1.2594368354902909E-3</v>
      </c>
      <c r="S42" s="3"/>
      <c r="T42" s="8">
        <v>2151.4928399999999</v>
      </c>
      <c r="U42" s="3"/>
      <c r="V42" s="7">
        <f t="shared" si="17"/>
        <v>9.8700345853768847E-4</v>
      </c>
      <c r="W42" s="3"/>
      <c r="X42" s="8">
        <f t="shared" si="18"/>
        <v>977.45715999999993</v>
      </c>
      <c r="Y42" s="3"/>
      <c r="Z42" s="7">
        <f t="shared" si="19"/>
        <v>0.45431578568488284</v>
      </c>
    </row>
    <row r="43" spans="1:26" s="70" customFormat="1" ht="15" hidden="1" customHeight="1" outlineLevel="2" x14ac:dyDescent="0.25">
      <c r="A43" s="25"/>
      <c r="B43" s="12" t="str">
        <f>CONCATENATE("          ","6119"," - ","SICK LEAVE")</f>
        <v xml:space="preserve">          6119 - SICK LEAVE</v>
      </c>
      <c r="C43" s="12"/>
      <c r="D43" s="8">
        <v>252.39</v>
      </c>
      <c r="E43" s="3"/>
      <c r="F43" s="7">
        <f t="shared" si="12"/>
        <v>6.0980472935834914E-4</v>
      </c>
      <c r="G43" s="3"/>
      <c r="H43" s="8">
        <v>248.82617999999999</v>
      </c>
      <c r="I43" s="3"/>
      <c r="J43" s="7">
        <f t="shared" si="13"/>
        <v>6.4142030778748741E-4</v>
      </c>
      <c r="K43" s="3"/>
      <c r="L43" s="8">
        <f t="shared" si="14"/>
        <v>3.5638199999999927</v>
      </c>
      <c r="M43" s="3"/>
      <c r="N43" s="7">
        <f t="shared" si="15"/>
        <v>1.4322528280585237E-2</v>
      </c>
      <c r="O43" s="12"/>
      <c r="P43" s="8">
        <v>3922.38</v>
      </c>
      <c r="Q43" s="3"/>
      <c r="R43" s="7">
        <f t="shared" si="16"/>
        <v>1.5788011488807453E-3</v>
      </c>
      <c r="S43" s="3"/>
      <c r="T43" s="8">
        <v>3078.9573599999999</v>
      </c>
      <c r="U43" s="3"/>
      <c r="V43" s="7">
        <f t="shared" si="17"/>
        <v>1.4124804445131553E-3</v>
      </c>
      <c r="W43" s="3"/>
      <c r="X43" s="8">
        <f t="shared" si="18"/>
        <v>843.42264000000023</v>
      </c>
      <c r="Y43" s="3"/>
      <c r="Z43" s="7">
        <f t="shared" si="19"/>
        <v>0.27393125054515216</v>
      </c>
    </row>
    <row r="44" spans="1:26" s="70" customFormat="1" ht="15" hidden="1" customHeight="1" outlineLevel="2" x14ac:dyDescent="0.25">
      <c r="A44" s="25"/>
      <c r="B44" s="12" t="str">
        <f>CONCATENATE("          ","6156"," - ","EMPLOYEE MEALS")</f>
        <v xml:space="preserve">          6156 - EMPLOYEE MEALS</v>
      </c>
      <c r="C44" s="12"/>
      <c r="D44" s="8">
        <v>248.77</v>
      </c>
      <c r="E44" s="3"/>
      <c r="F44" s="7">
        <f t="shared" si="12"/>
        <v>6.0105837205307868E-4</v>
      </c>
      <c r="G44" s="3"/>
      <c r="H44" s="8">
        <v>350</v>
      </c>
      <c r="I44" s="3"/>
      <c r="J44" s="7">
        <f t="shared" si="13"/>
        <v>9.0222462815456393E-4</v>
      </c>
      <c r="K44" s="3"/>
      <c r="L44" s="8">
        <f t="shared" si="14"/>
        <v>-101.22999999999999</v>
      </c>
      <c r="M44" s="3"/>
      <c r="N44" s="7">
        <f t="shared" si="15"/>
        <v>-0.28922857142857139</v>
      </c>
      <c r="O44" s="12"/>
      <c r="P44" s="8">
        <v>2072.5700000000002</v>
      </c>
      <c r="Q44" s="3"/>
      <c r="R44" s="7">
        <f t="shared" si="16"/>
        <v>8.3423225111686435E-4</v>
      </c>
      <c r="S44" s="3"/>
      <c r="T44" s="8">
        <v>3850</v>
      </c>
      <c r="U44" s="3"/>
      <c r="V44" s="7">
        <f t="shared" si="17"/>
        <v>1.766198448222631E-3</v>
      </c>
      <c r="W44" s="3"/>
      <c r="X44" s="8">
        <f t="shared" si="18"/>
        <v>-1777.4299999999998</v>
      </c>
      <c r="Y44" s="3"/>
      <c r="Z44" s="7">
        <f t="shared" si="19"/>
        <v>-0.46167012987012984</v>
      </c>
    </row>
    <row r="45" spans="1:26" s="69" customFormat="1" ht="15" customHeight="1" outlineLevel="1" collapsed="1" x14ac:dyDescent="0.25">
      <c r="A45" s="26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11558.89</v>
      </c>
      <c r="E45" s="2"/>
      <c r="F45" s="6">
        <f t="shared" si="12"/>
        <v>2.7927674583513324E-2</v>
      </c>
      <c r="G45" s="2"/>
      <c r="H45" s="2">
        <f>SUM(OSRRefH22_1x_0)</f>
        <v>9987.5105499999991</v>
      </c>
      <c r="I45" s="2"/>
      <c r="J45" s="6">
        <f t="shared" si="13"/>
        <v>2.5745651406181524E-2</v>
      </c>
      <c r="K45" s="2"/>
      <c r="L45" s="2">
        <f t="shared" si="14"/>
        <v>1571.3794500000004</v>
      </c>
      <c r="M45" s="2"/>
      <c r="N45" s="6">
        <f t="shared" si="15"/>
        <v>0.15733444707099714</v>
      </c>
      <c r="O45" s="14"/>
      <c r="P45" s="2">
        <f>SUM(OSRRefP22_1x_0)</f>
        <v>117394.45</v>
      </c>
      <c r="Q45" s="2"/>
      <c r="R45" s="6">
        <f t="shared" si="16"/>
        <v>4.725255904125128E-2</v>
      </c>
      <c r="S45" s="2"/>
      <c r="T45" s="2">
        <f>SUM(OSRRefT22_1x_0)</f>
        <v>122951.56659999999</v>
      </c>
      <c r="U45" s="2"/>
      <c r="V45" s="6">
        <f t="shared" si="17"/>
        <v>5.6404380814405568E-2</v>
      </c>
      <c r="W45" s="2"/>
      <c r="X45" s="2">
        <f t="shared" si="18"/>
        <v>-5557.1165999999939</v>
      </c>
      <c r="Y45" s="2"/>
      <c r="Z45" s="6">
        <f t="shared" si="19"/>
        <v>-4.5197607103934161E-2</v>
      </c>
    </row>
    <row r="46" spans="1:26" s="70" customFormat="1" ht="15" hidden="1" customHeight="1" outlineLevel="2" x14ac:dyDescent="0.25">
      <c r="A46" s="25"/>
      <c r="B46" s="12" t="str">
        <f>CONCATENATE("          ","6001"," - ","ADMINISTRATIVE SALARIES")</f>
        <v xml:space="preserve">          6001 - ADMINISTRATIVE SALARIES</v>
      </c>
      <c r="C46" s="12"/>
      <c r="D46" s="8"/>
      <c r="E46" s="3"/>
      <c r="F46" s="7">
        <f t="shared" si="12"/>
        <v>0</v>
      </c>
      <c r="G46" s="3"/>
      <c r="H46" s="8">
        <v>0</v>
      </c>
      <c r="I46" s="3"/>
      <c r="J46" s="7">
        <f t="shared" si="13"/>
        <v>0</v>
      </c>
      <c r="K46" s="3"/>
      <c r="L46" s="8">
        <f t="shared" si="14"/>
        <v>0</v>
      </c>
      <c r="M46" s="3"/>
      <c r="N46" s="7">
        <f t="shared" si="15"/>
        <v>0</v>
      </c>
      <c r="O46" s="12"/>
      <c r="P46" s="8"/>
      <c r="Q46" s="3"/>
      <c r="R46" s="7">
        <f t="shared" si="16"/>
        <v>0</v>
      </c>
      <c r="S46" s="3"/>
      <c r="T46" s="8">
        <v>0</v>
      </c>
      <c r="U46" s="3"/>
      <c r="V46" s="7">
        <f t="shared" si="17"/>
        <v>0</v>
      </c>
      <c r="W46" s="3"/>
      <c r="X46" s="8">
        <f t="shared" si="18"/>
        <v>0</v>
      </c>
      <c r="Y46" s="3"/>
      <c r="Z46" s="7">
        <f t="shared" si="19"/>
        <v>0</v>
      </c>
    </row>
    <row r="47" spans="1:26" s="70" customFormat="1" ht="15" hidden="1" customHeight="1" outlineLevel="2" x14ac:dyDescent="0.25">
      <c r="A47" s="25"/>
      <c r="B47" s="12" t="str">
        <f>CONCATENATE("          ","6002"," - ","STAFF SALARIES")</f>
        <v xml:space="preserve">          6002 - STAFF SALARIES</v>
      </c>
      <c r="C47" s="12"/>
      <c r="D47" s="8">
        <v>1632</v>
      </c>
      <c r="E47" s="3"/>
      <c r="F47" s="7">
        <f t="shared" si="12"/>
        <v>3.9431091497794122E-3</v>
      </c>
      <c r="G47" s="3"/>
      <c r="H47" s="8">
        <v>2233.2305500000002</v>
      </c>
      <c r="I47" s="3"/>
      <c r="J47" s="7">
        <f t="shared" si="13"/>
        <v>5.7567874358776076E-3</v>
      </c>
      <c r="K47" s="3"/>
      <c r="L47" s="8">
        <f t="shared" si="14"/>
        <v>-601.23055000000022</v>
      </c>
      <c r="M47" s="3"/>
      <c r="N47" s="7">
        <f t="shared" si="15"/>
        <v>-0.26922009910709854</v>
      </c>
      <c r="O47" s="12"/>
      <c r="P47" s="8">
        <v>20256.939999999999</v>
      </c>
      <c r="Q47" s="3"/>
      <c r="R47" s="7">
        <f t="shared" si="16"/>
        <v>8.1536414485104246E-3</v>
      </c>
      <c r="S47" s="3"/>
      <c r="T47" s="8">
        <v>26798.766599999999</v>
      </c>
      <c r="U47" s="3"/>
      <c r="V47" s="7">
        <f t="shared" si="17"/>
        <v>1.2294010385246875E-2</v>
      </c>
      <c r="W47" s="3"/>
      <c r="X47" s="8">
        <f t="shared" si="18"/>
        <v>-6541.8266000000003</v>
      </c>
      <c r="Y47" s="3"/>
      <c r="Z47" s="7">
        <f t="shared" si="19"/>
        <v>-0.2441092419529487</v>
      </c>
    </row>
    <row r="48" spans="1:26" s="70" customFormat="1" ht="15" hidden="1" customHeight="1" outlineLevel="2" x14ac:dyDescent="0.25">
      <c r="A48" s="25"/>
      <c r="B48" s="12" t="str">
        <f>CONCATENATE("          ","6003"," - ","STAFF HOURLY-9 MONTH")</f>
        <v xml:space="preserve">          6003 - STAFF HOURLY-9 MONTH</v>
      </c>
      <c r="C48" s="12"/>
      <c r="D48" s="8"/>
      <c r="E48" s="3"/>
      <c r="F48" s="7">
        <f t="shared" si="12"/>
        <v>0</v>
      </c>
      <c r="G48" s="3"/>
      <c r="H48" s="8">
        <v>0</v>
      </c>
      <c r="I48" s="3"/>
      <c r="J48" s="7">
        <f t="shared" si="13"/>
        <v>0</v>
      </c>
      <c r="K48" s="3"/>
      <c r="L48" s="8">
        <f t="shared" si="14"/>
        <v>0</v>
      </c>
      <c r="M48" s="3"/>
      <c r="N48" s="7">
        <f t="shared" si="15"/>
        <v>0</v>
      </c>
      <c r="O48" s="12"/>
      <c r="P48" s="8"/>
      <c r="Q48" s="3"/>
      <c r="R48" s="7">
        <f t="shared" si="16"/>
        <v>0</v>
      </c>
      <c r="S48" s="3"/>
      <c r="T48" s="8">
        <v>0</v>
      </c>
      <c r="U48" s="3"/>
      <c r="V48" s="7">
        <f t="shared" si="17"/>
        <v>0</v>
      </c>
      <c r="W48" s="3"/>
      <c r="X48" s="8">
        <f t="shared" si="18"/>
        <v>0</v>
      </c>
      <c r="Y48" s="3"/>
      <c r="Z48" s="7">
        <f t="shared" si="19"/>
        <v>0</v>
      </c>
    </row>
    <row r="49" spans="1:26" s="70" customFormat="1" ht="15" hidden="1" customHeight="1" outlineLevel="2" x14ac:dyDescent="0.25">
      <c r="A49" s="25"/>
      <c r="B49" s="12" t="str">
        <f>CONCATENATE("          ","6004"," - ","STAFF HOURLY")</f>
        <v xml:space="preserve">          6004 - STAFF HOURLY</v>
      </c>
      <c r="C49" s="12"/>
      <c r="D49" s="8">
        <v>3932.64</v>
      </c>
      <c r="E49" s="3"/>
      <c r="F49" s="7">
        <f t="shared" si="12"/>
        <v>9.5017333129831533E-3</v>
      </c>
      <c r="G49" s="3"/>
      <c r="H49" s="8">
        <v>3444.32</v>
      </c>
      <c r="I49" s="3"/>
      <c r="J49" s="7">
        <f t="shared" si="13"/>
        <v>8.8787152321295089E-3</v>
      </c>
      <c r="K49" s="3"/>
      <c r="L49" s="8">
        <f t="shared" si="14"/>
        <v>488.31999999999971</v>
      </c>
      <c r="M49" s="3"/>
      <c r="N49" s="7">
        <f t="shared" si="15"/>
        <v>0.1417754447902633</v>
      </c>
      <c r="O49" s="12"/>
      <c r="P49" s="8">
        <v>37828.730000000003</v>
      </c>
      <c r="Q49" s="3"/>
      <c r="R49" s="7">
        <f t="shared" si="16"/>
        <v>1.5226480449293419E-2</v>
      </c>
      <c r="S49" s="3"/>
      <c r="T49" s="8">
        <v>41331.839999999997</v>
      </c>
      <c r="U49" s="3"/>
      <c r="V49" s="7">
        <f t="shared" si="17"/>
        <v>1.8961099135113263E-2</v>
      </c>
      <c r="W49" s="3"/>
      <c r="X49" s="8">
        <f t="shared" si="18"/>
        <v>-3503.1099999999933</v>
      </c>
      <c r="Y49" s="3"/>
      <c r="Z49" s="7">
        <f t="shared" si="19"/>
        <v>-8.4755723432588373E-2</v>
      </c>
    </row>
    <row r="50" spans="1:26" s="70" customFormat="1" ht="15" hidden="1" customHeight="1" outlineLevel="2" x14ac:dyDescent="0.25">
      <c r="A50" s="25"/>
      <c r="B50" s="12" t="str">
        <f>CONCATENATE("          ","6005"," - ","TEMPORARY WAGES-HOURLY")</f>
        <v xml:space="preserve">          6005 - TEMPORARY WAGES-HOURLY</v>
      </c>
      <c r="C50" s="12"/>
      <c r="D50" s="8">
        <v>1883.48</v>
      </c>
      <c r="E50" s="3"/>
      <c r="F50" s="7">
        <f t="shared" si="12"/>
        <v>4.5507152092074312E-3</v>
      </c>
      <c r="G50" s="3"/>
      <c r="H50" s="8">
        <v>0</v>
      </c>
      <c r="I50" s="3"/>
      <c r="J50" s="7">
        <f t="shared" si="13"/>
        <v>0</v>
      </c>
      <c r="K50" s="3"/>
      <c r="L50" s="8">
        <f t="shared" si="14"/>
        <v>1883.48</v>
      </c>
      <c r="M50" s="3"/>
      <c r="N50" s="7">
        <f t="shared" si="15"/>
        <v>0</v>
      </c>
      <c r="O50" s="12"/>
      <c r="P50" s="8">
        <v>16596.509999999998</v>
      </c>
      <c r="Q50" s="3"/>
      <c r="R50" s="7">
        <f t="shared" si="16"/>
        <v>6.6802780595992166E-3</v>
      </c>
      <c r="S50" s="3"/>
      <c r="T50" s="8">
        <v>0</v>
      </c>
      <c r="U50" s="3"/>
      <c r="V50" s="7">
        <f t="shared" si="17"/>
        <v>0</v>
      </c>
      <c r="W50" s="3"/>
      <c r="X50" s="8">
        <f t="shared" si="18"/>
        <v>16596.509999999998</v>
      </c>
      <c r="Y50" s="3"/>
      <c r="Z50" s="7">
        <f t="shared" si="19"/>
        <v>0</v>
      </c>
    </row>
    <row r="51" spans="1:26" s="70" customFormat="1" ht="15" hidden="1" customHeight="1" outlineLevel="2" x14ac:dyDescent="0.25">
      <c r="A51" s="25"/>
      <c r="B51" s="12" t="str">
        <f>CONCATENATE("          ","6006"," - ","TEMPORARY PART TIME")</f>
        <v xml:space="preserve">          6006 - TEMPORARY PART TIME</v>
      </c>
      <c r="C51" s="12"/>
      <c r="D51" s="8"/>
      <c r="E51" s="3"/>
      <c r="F51" s="7">
        <f t="shared" si="12"/>
        <v>0</v>
      </c>
      <c r="G51" s="3"/>
      <c r="H51" s="8">
        <v>0</v>
      </c>
      <c r="I51" s="3"/>
      <c r="J51" s="7">
        <f t="shared" si="13"/>
        <v>0</v>
      </c>
      <c r="K51" s="3"/>
      <c r="L51" s="8">
        <f t="shared" si="14"/>
        <v>0</v>
      </c>
      <c r="M51" s="3"/>
      <c r="N51" s="7">
        <f t="shared" si="15"/>
        <v>0</v>
      </c>
      <c r="O51" s="12"/>
      <c r="P51" s="8"/>
      <c r="Q51" s="3"/>
      <c r="R51" s="7">
        <f t="shared" si="16"/>
        <v>0</v>
      </c>
      <c r="S51" s="3"/>
      <c r="T51" s="8">
        <v>0</v>
      </c>
      <c r="U51" s="3"/>
      <c r="V51" s="7">
        <f t="shared" si="17"/>
        <v>0</v>
      </c>
      <c r="W51" s="3"/>
      <c r="X51" s="8">
        <f t="shared" si="18"/>
        <v>0</v>
      </c>
      <c r="Y51" s="3"/>
      <c r="Z51" s="7">
        <f t="shared" si="19"/>
        <v>0</v>
      </c>
    </row>
    <row r="52" spans="1:26" s="70" customFormat="1" ht="15" hidden="1" customHeight="1" outlineLevel="2" x14ac:dyDescent="0.25">
      <c r="A52" s="25"/>
      <c r="B52" s="12" t="str">
        <f>CONCATENATE("          ","6007"," - ","STUDENT HOURLY")</f>
        <v xml:space="preserve">          6007 - STUDENT HOURLY</v>
      </c>
      <c r="C52" s="12"/>
      <c r="D52" s="8">
        <v>4110.7700000000004</v>
      </c>
      <c r="E52" s="3"/>
      <c r="F52" s="7">
        <f t="shared" si="12"/>
        <v>9.9321169115433299E-3</v>
      </c>
      <c r="G52" s="3"/>
      <c r="H52" s="8">
        <v>0</v>
      </c>
      <c r="I52" s="3"/>
      <c r="J52" s="7">
        <f t="shared" si="13"/>
        <v>0</v>
      </c>
      <c r="K52" s="3"/>
      <c r="L52" s="8">
        <f t="shared" si="14"/>
        <v>4110.7700000000004</v>
      </c>
      <c r="M52" s="3"/>
      <c r="N52" s="7">
        <f t="shared" si="15"/>
        <v>0</v>
      </c>
      <c r="O52" s="12"/>
      <c r="P52" s="8">
        <v>36566.639999999999</v>
      </c>
      <c r="Q52" s="3"/>
      <c r="R52" s="7">
        <f t="shared" si="16"/>
        <v>1.471847532434609E-2</v>
      </c>
      <c r="S52" s="3"/>
      <c r="T52" s="8">
        <v>10176</v>
      </c>
      <c r="U52" s="3"/>
      <c r="V52" s="7">
        <f t="shared" si="17"/>
        <v>4.6682689374320761E-3</v>
      </c>
      <c r="W52" s="3"/>
      <c r="X52" s="8">
        <f t="shared" si="18"/>
        <v>26390.639999999999</v>
      </c>
      <c r="Y52" s="3"/>
      <c r="Z52" s="7">
        <f t="shared" si="19"/>
        <v>2.5934198113207545</v>
      </c>
    </row>
    <row r="53" spans="1:26" s="70" customFormat="1" ht="15" hidden="1" customHeight="1" outlineLevel="2" x14ac:dyDescent="0.25">
      <c r="A53" s="25"/>
      <c r="B53" s="12" t="str">
        <f>CONCATENATE("          ","6008"," - ","STUDENT HOURLY-FICA EXEMPT")</f>
        <v xml:space="preserve">          6008 - STUDENT HOURLY-FICA EXEMPT</v>
      </c>
      <c r="C53" s="12"/>
      <c r="D53" s="8"/>
      <c r="E53" s="3"/>
      <c r="F53" s="7">
        <f t="shared" si="12"/>
        <v>0</v>
      </c>
      <c r="G53" s="3"/>
      <c r="H53" s="8">
        <v>4309.96</v>
      </c>
      <c r="I53" s="3"/>
      <c r="J53" s="7">
        <f t="shared" si="13"/>
        <v>1.1110148738174412E-2</v>
      </c>
      <c r="K53" s="3"/>
      <c r="L53" s="8">
        <f t="shared" si="14"/>
        <v>-4309.96</v>
      </c>
      <c r="M53" s="3"/>
      <c r="N53" s="7">
        <f t="shared" si="15"/>
        <v>-1</v>
      </c>
      <c r="O53" s="12"/>
      <c r="P53" s="8">
        <v>6145.63</v>
      </c>
      <c r="Q53" s="3"/>
      <c r="R53" s="7">
        <f t="shared" si="16"/>
        <v>2.4736837595021326E-3</v>
      </c>
      <c r="S53" s="3"/>
      <c r="T53" s="8">
        <v>44644.959999999999</v>
      </c>
      <c r="U53" s="3"/>
      <c r="V53" s="7">
        <f t="shared" si="17"/>
        <v>2.0481002356613359E-2</v>
      </c>
      <c r="W53" s="3"/>
      <c r="X53" s="8">
        <f t="shared" si="18"/>
        <v>-38499.33</v>
      </c>
      <c r="Y53" s="3"/>
      <c r="Z53" s="7">
        <f t="shared" si="19"/>
        <v>-0.86234437213069526</v>
      </c>
    </row>
    <row r="54" spans="1:26" s="70" customFormat="1" ht="15" hidden="1" customHeight="1" outlineLevel="2" x14ac:dyDescent="0.25">
      <c r="A54" s="25"/>
      <c r="B54" s="12" t="str">
        <f>CONCATENATE("          ","6009"," - ","TEMPORARY-SEASONAL")</f>
        <v xml:space="preserve">          6009 - TEMPORARY-SEASONAL</v>
      </c>
      <c r="C54" s="12"/>
      <c r="D54" s="8"/>
      <c r="E54" s="3"/>
      <c r="F54" s="7">
        <f t="shared" si="12"/>
        <v>0</v>
      </c>
      <c r="G54" s="3"/>
      <c r="H54" s="8">
        <v>0</v>
      </c>
      <c r="I54" s="3"/>
      <c r="J54" s="7">
        <f t="shared" si="13"/>
        <v>0</v>
      </c>
      <c r="K54" s="3"/>
      <c r="L54" s="8">
        <f t="shared" si="14"/>
        <v>0</v>
      </c>
      <c r="M54" s="3"/>
      <c r="N54" s="7">
        <f t="shared" si="15"/>
        <v>0</v>
      </c>
      <c r="O54" s="12"/>
      <c r="P54" s="8"/>
      <c r="Q54" s="3"/>
      <c r="R54" s="7">
        <f t="shared" si="16"/>
        <v>0</v>
      </c>
      <c r="S54" s="3"/>
      <c r="T54" s="8">
        <v>0</v>
      </c>
      <c r="U54" s="3"/>
      <c r="V54" s="7">
        <f t="shared" si="17"/>
        <v>0</v>
      </c>
      <c r="W54" s="3"/>
      <c r="X54" s="8">
        <f t="shared" si="18"/>
        <v>0</v>
      </c>
      <c r="Y54" s="3"/>
      <c r="Z54" s="7">
        <f t="shared" si="19"/>
        <v>0</v>
      </c>
    </row>
    <row r="55" spans="1:26" s="70" customFormat="1" ht="15" hidden="1" customHeight="1" outlineLevel="2" x14ac:dyDescent="0.25">
      <c r="A55" s="25"/>
      <c r="B55" s="12" t="str">
        <f>CONCATENATE("          ","6010"," - ","GRATUITY")</f>
        <v xml:space="preserve">          6010 - GRATUITY</v>
      </c>
      <c r="C55" s="12"/>
      <c r="D55" s="8"/>
      <c r="E55" s="3"/>
      <c r="F55" s="7">
        <f t="shared" si="12"/>
        <v>0</v>
      </c>
      <c r="G55" s="3"/>
      <c r="H55" s="8">
        <v>0</v>
      </c>
      <c r="I55" s="3"/>
      <c r="J55" s="7">
        <f t="shared" si="13"/>
        <v>0</v>
      </c>
      <c r="K55" s="3"/>
      <c r="L55" s="8">
        <f t="shared" si="14"/>
        <v>0</v>
      </c>
      <c r="M55" s="3"/>
      <c r="N55" s="7">
        <f t="shared" si="15"/>
        <v>0</v>
      </c>
      <c r="O55" s="12"/>
      <c r="P55" s="8"/>
      <c r="Q55" s="3"/>
      <c r="R55" s="7">
        <f t="shared" si="16"/>
        <v>0</v>
      </c>
      <c r="S55" s="3"/>
      <c r="T55" s="8">
        <v>0</v>
      </c>
      <c r="U55" s="3"/>
      <c r="V55" s="7">
        <f t="shared" si="17"/>
        <v>0</v>
      </c>
      <c r="W55" s="3"/>
      <c r="X55" s="8">
        <f t="shared" si="18"/>
        <v>0</v>
      </c>
      <c r="Y55" s="3"/>
      <c r="Z55" s="7">
        <f t="shared" si="19"/>
        <v>0</v>
      </c>
    </row>
    <row r="56" spans="1:26" s="69" customFormat="1" ht="15" customHeight="1" outlineLevel="1" collapsed="1" x14ac:dyDescent="0.25">
      <c r="A56" s="26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36.81</v>
      </c>
      <c r="E56" s="2"/>
      <c r="F56" s="6">
        <f t="shared" si="12"/>
        <v>8.893740674226726E-5</v>
      </c>
      <c r="G56" s="2"/>
      <c r="H56" s="2">
        <f>SUM(OSRRefH22_2x_0)</f>
        <v>200</v>
      </c>
      <c r="I56" s="2"/>
      <c r="J56" s="6">
        <f t="shared" si="13"/>
        <v>5.1555693037403651E-4</v>
      </c>
      <c r="K56" s="2"/>
      <c r="L56" s="2">
        <f t="shared" si="14"/>
        <v>-163.19</v>
      </c>
      <c r="M56" s="2"/>
      <c r="N56" s="6">
        <f t="shared" si="15"/>
        <v>-0.81594999999999995</v>
      </c>
      <c r="O56" s="14"/>
      <c r="P56" s="2">
        <f>SUM(OSRRefP22_2x_0)</f>
        <v>215.78</v>
      </c>
      <c r="Q56" s="2"/>
      <c r="R56" s="6">
        <f t="shared" si="16"/>
        <v>8.68538264792007E-5</v>
      </c>
      <c r="S56" s="2"/>
      <c r="T56" s="2">
        <f>SUM(OSRRefT22_2x_0)</f>
        <v>2200</v>
      </c>
      <c r="U56" s="2"/>
      <c r="V56" s="6">
        <f t="shared" si="17"/>
        <v>1.0092562561272176E-3</v>
      </c>
      <c r="W56" s="2"/>
      <c r="X56" s="2">
        <f t="shared" si="18"/>
        <v>-1984.22</v>
      </c>
      <c r="Y56" s="2"/>
      <c r="Z56" s="6">
        <f t="shared" si="19"/>
        <v>-0.90191818181818184</v>
      </c>
    </row>
    <row r="57" spans="1:26" s="70" customFormat="1" ht="15" hidden="1" customHeight="1" outlineLevel="2" x14ac:dyDescent="0.25">
      <c r="A57" s="25"/>
      <c r="B57" s="12" t="str">
        <f>CONCATENATE("          ","6362"," - ","ADVERTISING EXPENSE")</f>
        <v xml:space="preserve">          6362 - ADVERTISING EXPENSE</v>
      </c>
      <c r="C57" s="12"/>
      <c r="D57" s="8">
        <v>36.81</v>
      </c>
      <c r="E57" s="3"/>
      <c r="F57" s="7">
        <f t="shared" si="12"/>
        <v>8.893740674226726E-5</v>
      </c>
      <c r="G57" s="3"/>
      <c r="H57" s="8">
        <v>200</v>
      </c>
      <c r="I57" s="3"/>
      <c r="J57" s="7">
        <f t="shared" si="13"/>
        <v>5.1555693037403651E-4</v>
      </c>
      <c r="K57" s="3"/>
      <c r="L57" s="8">
        <f t="shared" si="14"/>
        <v>-163.19</v>
      </c>
      <c r="M57" s="3"/>
      <c r="N57" s="7">
        <f t="shared" si="15"/>
        <v>-0.81594999999999995</v>
      </c>
      <c r="O57" s="12"/>
      <c r="P57" s="8">
        <v>215.78</v>
      </c>
      <c r="Q57" s="3"/>
      <c r="R57" s="7">
        <f t="shared" si="16"/>
        <v>8.68538264792007E-5</v>
      </c>
      <c r="S57" s="3"/>
      <c r="T57" s="8">
        <v>2200</v>
      </c>
      <c r="U57" s="3"/>
      <c r="V57" s="7">
        <f t="shared" si="17"/>
        <v>1.0092562561272176E-3</v>
      </c>
      <c r="W57" s="3"/>
      <c r="X57" s="8">
        <f t="shared" si="18"/>
        <v>-1984.22</v>
      </c>
      <c r="Y57" s="3"/>
      <c r="Z57" s="7">
        <f t="shared" si="19"/>
        <v>-0.90191818181818184</v>
      </c>
    </row>
    <row r="58" spans="1:26" s="69" customFormat="1" ht="15" customHeight="1" outlineLevel="1" collapsed="1" x14ac:dyDescent="0.25">
      <c r="A58" s="26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6.7757691787018279E-4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3084.84</v>
      </c>
      <c r="Q58" s="2"/>
      <c r="R58" s="6">
        <f t="shared" si="16"/>
        <v>1.2416820746876331E-3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3084.84</v>
      </c>
      <c r="Y58" s="2"/>
      <c r="Z58" s="6">
        <f t="shared" si="19"/>
        <v>0</v>
      </c>
    </row>
    <row r="59" spans="1:26" s="70" customFormat="1" ht="15" hidden="1" customHeight="1" outlineLevel="2" x14ac:dyDescent="0.25">
      <c r="A59" s="25"/>
      <c r="B59" s="12" t="str">
        <f>CONCATENATE("          ","6322"," - ","EQUIPMENT DEPRECIATION EXPENSE")</f>
        <v xml:space="preserve">          6322 - EQUIPMENT DEPRECIATION EXPENSE</v>
      </c>
      <c r="C59" s="12"/>
      <c r="D59" s="8">
        <v>280.44</v>
      </c>
      <c r="E59" s="3"/>
      <c r="F59" s="7">
        <f t="shared" si="12"/>
        <v>6.7757691787018279E-4</v>
      </c>
      <c r="G59" s="3"/>
      <c r="H59" s="8"/>
      <c r="I59" s="3"/>
      <c r="J59" s="7">
        <f t="shared" si="13"/>
        <v>0</v>
      </c>
      <c r="K59" s="3"/>
      <c r="L59" s="8">
        <f t="shared" si="14"/>
        <v>280.44</v>
      </c>
      <c r="M59" s="3"/>
      <c r="N59" s="7">
        <f t="shared" si="15"/>
        <v>0</v>
      </c>
      <c r="O59" s="12"/>
      <c r="P59" s="8">
        <v>3084.84</v>
      </c>
      <c r="Q59" s="3"/>
      <c r="R59" s="7">
        <f t="shared" si="16"/>
        <v>1.2416820746876331E-3</v>
      </c>
      <c r="S59" s="3"/>
      <c r="T59" s="8"/>
      <c r="U59" s="3"/>
      <c r="V59" s="7">
        <f t="shared" si="17"/>
        <v>0</v>
      </c>
      <c r="W59" s="3"/>
      <c r="X59" s="8">
        <f t="shared" si="18"/>
        <v>3084.84</v>
      </c>
      <c r="Y59" s="3"/>
      <c r="Z59" s="7">
        <f t="shared" si="19"/>
        <v>0</v>
      </c>
    </row>
    <row r="60" spans="1:26" s="69" customFormat="1" ht="15" customHeight="1" outlineLevel="1" collapsed="1" x14ac:dyDescent="0.25">
      <c r="A60" s="26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5.1555693037403653E-5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220</v>
      </c>
      <c r="U60" s="2"/>
      <c r="V60" s="6">
        <f t="shared" si="17"/>
        <v>1.0092562561272177E-4</v>
      </c>
      <c r="W60" s="2"/>
      <c r="X60" s="2">
        <f t="shared" si="18"/>
        <v>-220</v>
      </c>
      <c r="Y60" s="2"/>
      <c r="Z60" s="6">
        <f t="shared" si="19"/>
        <v>-1</v>
      </c>
    </row>
    <row r="61" spans="1:26" s="70" customFormat="1" ht="15" hidden="1" customHeight="1" outlineLevel="2" x14ac:dyDescent="0.25">
      <c r="A61" s="25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20</v>
      </c>
      <c r="I61" s="3"/>
      <c r="J61" s="7">
        <f t="shared" si="13"/>
        <v>5.1555693037403653E-5</v>
      </c>
      <c r="K61" s="3"/>
      <c r="L61" s="8">
        <f t="shared" si="14"/>
        <v>-20</v>
      </c>
      <c r="M61" s="3"/>
      <c r="N61" s="7">
        <f t="shared" si="15"/>
        <v>-1</v>
      </c>
      <c r="O61" s="12"/>
      <c r="P61" s="8"/>
      <c r="Q61" s="3"/>
      <c r="R61" s="7">
        <f t="shared" si="16"/>
        <v>0</v>
      </c>
      <c r="S61" s="3"/>
      <c r="T61" s="8">
        <v>220</v>
      </c>
      <c r="U61" s="3"/>
      <c r="V61" s="7">
        <f t="shared" si="17"/>
        <v>1.0092562561272177E-4</v>
      </c>
      <c r="W61" s="3"/>
      <c r="X61" s="8">
        <f t="shared" si="18"/>
        <v>-220</v>
      </c>
      <c r="Y61" s="3"/>
      <c r="Z61" s="7">
        <f t="shared" si="19"/>
        <v>-1</v>
      </c>
    </row>
    <row r="62" spans="1:26" s="69" customFormat="1" ht="15" customHeight="1" outlineLevel="1" collapsed="1" x14ac:dyDescent="0.25">
      <c r="A62" s="26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3.8666769778052741E-5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4.9158670070927705E-5</v>
      </c>
      <c r="S62" s="2"/>
      <c r="T62" s="2">
        <f>SUM(OSRRefT22_5x_0)</f>
        <v>165</v>
      </c>
      <c r="U62" s="2"/>
      <c r="V62" s="6">
        <f t="shared" si="17"/>
        <v>7.5694219209541331E-5</v>
      </c>
      <c r="W62" s="2"/>
      <c r="X62" s="2">
        <f t="shared" si="18"/>
        <v>-42.870000000000005</v>
      </c>
      <c r="Y62" s="2"/>
      <c r="Z62" s="6">
        <f t="shared" si="19"/>
        <v>-0.25981818181818184</v>
      </c>
    </row>
    <row r="63" spans="1:26" s="70" customFormat="1" ht="15" hidden="1" customHeight="1" outlineLevel="2" x14ac:dyDescent="0.25">
      <c r="A63" s="25"/>
      <c r="B63" s="12" t="str">
        <f>CONCATENATE("          ","6305"," - ","FREIGHT OUT")</f>
        <v xml:space="preserve">          6305 - FREIGHT OUT</v>
      </c>
      <c r="C63" s="12"/>
      <c r="D63" s="8"/>
      <c r="E63" s="3"/>
      <c r="F63" s="7">
        <f t="shared" si="12"/>
        <v>0</v>
      </c>
      <c r="G63" s="3"/>
      <c r="H63" s="8">
        <v>15</v>
      </c>
      <c r="I63" s="3"/>
      <c r="J63" s="7">
        <f t="shared" si="13"/>
        <v>3.8666769778052741E-5</v>
      </c>
      <c r="K63" s="3"/>
      <c r="L63" s="8">
        <f t="shared" si="14"/>
        <v>-15</v>
      </c>
      <c r="M63" s="3"/>
      <c r="N63" s="7">
        <f t="shared" si="15"/>
        <v>-1</v>
      </c>
      <c r="O63" s="12"/>
      <c r="P63" s="8">
        <v>122.13</v>
      </c>
      <c r="Q63" s="3"/>
      <c r="R63" s="7">
        <f t="shared" si="16"/>
        <v>4.9158670070927705E-5</v>
      </c>
      <c r="S63" s="3"/>
      <c r="T63" s="8">
        <v>165</v>
      </c>
      <c r="U63" s="3"/>
      <c r="V63" s="7">
        <f t="shared" si="17"/>
        <v>7.5694219209541331E-5</v>
      </c>
      <c r="W63" s="3"/>
      <c r="X63" s="8">
        <f t="shared" si="18"/>
        <v>-42.870000000000005</v>
      </c>
      <c r="Y63" s="3"/>
      <c r="Z63" s="7">
        <f t="shared" si="19"/>
        <v>-0.25981818181818184</v>
      </c>
    </row>
    <row r="64" spans="1:26" s="69" customFormat="1" ht="15" customHeight="1" outlineLevel="1" collapsed="1" x14ac:dyDescent="0.25">
      <c r="A64" s="26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30</v>
      </c>
      <c r="I64" s="2"/>
      <c r="J64" s="6">
        <f t="shared" si="13"/>
        <v>7.7333539556105483E-5</v>
      </c>
      <c r="K64" s="2"/>
      <c r="L64" s="2">
        <f t="shared" si="14"/>
        <v>-30</v>
      </c>
      <c r="M64" s="2"/>
      <c r="N64" s="6">
        <f t="shared" si="15"/>
        <v>-1</v>
      </c>
      <c r="O64" s="14"/>
      <c r="P64" s="2">
        <f>SUM(OSRRefP22_6x_0)</f>
        <v>285</v>
      </c>
      <c r="Q64" s="2"/>
      <c r="R64" s="6">
        <f t="shared" si="16"/>
        <v>1.147156388292344E-4</v>
      </c>
      <c r="S64" s="2"/>
      <c r="T64" s="2">
        <f>SUM(OSRRefT22_6x_0)</f>
        <v>330</v>
      </c>
      <c r="U64" s="2"/>
      <c r="V64" s="6">
        <f t="shared" si="17"/>
        <v>1.5138843841908266E-4</v>
      </c>
      <c r="W64" s="2"/>
      <c r="X64" s="2">
        <f t="shared" si="18"/>
        <v>-45</v>
      </c>
      <c r="Y64" s="2"/>
      <c r="Z64" s="6">
        <f t="shared" si="19"/>
        <v>-0.13636363636363635</v>
      </c>
    </row>
    <row r="65" spans="1:26" s="70" customFormat="1" ht="15" hidden="1" customHeight="1" outlineLevel="2" x14ac:dyDescent="0.25">
      <c r="A65" s="25"/>
      <c r="B65" s="12" t="str">
        <f>CONCATENATE("          ","6279"," - ","GENERAL EXPENSE")</f>
        <v xml:space="preserve">          6279 - GENERAL EXPENSE</v>
      </c>
      <c r="C65" s="12"/>
      <c r="D65" s="8"/>
      <c r="E65" s="3"/>
      <c r="F65" s="7">
        <f t="shared" si="12"/>
        <v>0</v>
      </c>
      <c r="G65" s="3"/>
      <c r="H65" s="8">
        <v>30</v>
      </c>
      <c r="I65" s="3"/>
      <c r="J65" s="7">
        <f t="shared" si="13"/>
        <v>7.7333539556105483E-5</v>
      </c>
      <c r="K65" s="3"/>
      <c r="L65" s="8">
        <f t="shared" si="14"/>
        <v>-30</v>
      </c>
      <c r="M65" s="3"/>
      <c r="N65" s="7">
        <f t="shared" si="15"/>
        <v>-1</v>
      </c>
      <c r="O65" s="12"/>
      <c r="P65" s="8">
        <v>285</v>
      </c>
      <c r="Q65" s="3"/>
      <c r="R65" s="7">
        <f t="shared" si="16"/>
        <v>1.147156388292344E-4</v>
      </c>
      <c r="S65" s="3"/>
      <c r="T65" s="8">
        <v>330</v>
      </c>
      <c r="U65" s="3"/>
      <c r="V65" s="7">
        <f t="shared" si="17"/>
        <v>1.5138843841908266E-4</v>
      </c>
      <c r="W65" s="3"/>
      <c r="X65" s="8">
        <f t="shared" si="18"/>
        <v>-45</v>
      </c>
      <c r="Y65" s="3"/>
      <c r="Z65" s="7">
        <f t="shared" si="19"/>
        <v>-0.13636363636363635</v>
      </c>
    </row>
    <row r="66" spans="1:26" s="69" customFormat="1" ht="15" customHeight="1" outlineLevel="1" collapsed="1" x14ac:dyDescent="0.25">
      <c r="A66" s="26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2100</v>
      </c>
      <c r="E66" s="2"/>
      <c r="F66" s="6">
        <f t="shared" si="12"/>
        <v>5.0738536853779199E-3</v>
      </c>
      <c r="G66" s="2"/>
      <c r="H66" s="2">
        <f>SUM(OSRRefH22_7x_0)</f>
        <v>2100</v>
      </c>
      <c r="I66" s="2"/>
      <c r="J66" s="6">
        <f t="shared" si="13"/>
        <v>5.4133477689273842E-3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10740</v>
      </c>
      <c r="Q66" s="2"/>
      <c r="R66" s="6">
        <f t="shared" si="16"/>
        <v>4.322968284301675E-3</v>
      </c>
      <c r="S66" s="2"/>
      <c r="T66" s="2">
        <f>SUM(OSRRefT22_7x_0)</f>
        <v>11450</v>
      </c>
      <c r="U66" s="2"/>
      <c r="V66" s="6">
        <f t="shared" si="17"/>
        <v>5.2527200602984735E-3</v>
      </c>
      <c r="W66" s="2"/>
      <c r="X66" s="2">
        <f t="shared" si="18"/>
        <v>-710</v>
      </c>
      <c r="Y66" s="2"/>
      <c r="Z66" s="6">
        <f t="shared" si="19"/>
        <v>-6.2008733624454151E-2</v>
      </c>
    </row>
    <row r="67" spans="1:26" s="70" customFormat="1" ht="15" hidden="1" customHeight="1" outlineLevel="2" x14ac:dyDescent="0.25">
      <c r="A67" s="25"/>
      <c r="B67" s="12" t="str">
        <f>CONCATENATE("          ","6408"," - ","INVENTORY ADJUSTMENT")</f>
        <v xml:space="preserve">          6408 - INVENTORY ADJUSTMENT</v>
      </c>
      <c r="C67" s="12"/>
      <c r="D67" s="8">
        <v>2100</v>
      </c>
      <c r="E67" s="3"/>
      <c r="F67" s="7">
        <f t="shared" si="12"/>
        <v>5.0738536853779199E-3</v>
      </c>
      <c r="G67" s="3"/>
      <c r="H67" s="8">
        <v>2100</v>
      </c>
      <c r="I67" s="3"/>
      <c r="J67" s="7">
        <f t="shared" si="13"/>
        <v>5.4133477689273842E-3</v>
      </c>
      <c r="K67" s="3"/>
      <c r="L67" s="8">
        <f t="shared" si="14"/>
        <v>0</v>
      </c>
      <c r="M67" s="3"/>
      <c r="N67" s="7">
        <f t="shared" si="15"/>
        <v>0</v>
      </c>
      <c r="O67" s="12"/>
      <c r="P67" s="8">
        <v>10740</v>
      </c>
      <c r="Q67" s="3"/>
      <c r="R67" s="7">
        <f t="shared" si="16"/>
        <v>4.322968284301675E-3</v>
      </c>
      <c r="S67" s="3"/>
      <c r="T67" s="8">
        <v>11450</v>
      </c>
      <c r="U67" s="3"/>
      <c r="V67" s="7">
        <f t="shared" si="17"/>
        <v>5.2527200602984735E-3</v>
      </c>
      <c r="W67" s="3"/>
      <c r="X67" s="8">
        <f t="shared" si="18"/>
        <v>-710</v>
      </c>
      <c r="Y67" s="3"/>
      <c r="Z67" s="7">
        <f t="shared" si="19"/>
        <v>-6.2008733624454151E-2</v>
      </c>
    </row>
    <row r="68" spans="1:26" s="69" customFormat="1" ht="15" customHeight="1" outlineLevel="1" collapsed="1" x14ac:dyDescent="0.25">
      <c r="A68" s="26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0</v>
      </c>
      <c r="E68" s="2"/>
      <c r="F68" s="6">
        <f t="shared" si="12"/>
        <v>0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SUM(OSRRefP22_8x_0)</f>
        <v>1550</v>
      </c>
      <c r="Q68" s="2"/>
      <c r="R68" s="6">
        <f t="shared" si="16"/>
        <v>6.2389207082566079E-4</v>
      </c>
      <c r="S68" s="2"/>
      <c r="T68" s="2">
        <f>SUM(OSRRefT22_8x_0)</f>
        <v>0</v>
      </c>
      <c r="U68" s="2"/>
      <c r="V68" s="6">
        <f t="shared" si="17"/>
        <v>0</v>
      </c>
      <c r="W68" s="2"/>
      <c r="X68" s="2">
        <f t="shared" si="18"/>
        <v>1550</v>
      </c>
      <c r="Y68" s="2"/>
      <c r="Z68" s="6">
        <f t="shared" si="19"/>
        <v>0</v>
      </c>
    </row>
    <row r="69" spans="1:26" s="70" customFormat="1" ht="15" hidden="1" customHeight="1" outlineLevel="2" x14ac:dyDescent="0.25">
      <c r="A69" s="25"/>
      <c r="B69" s="12" t="str">
        <f>CONCATENATE("          ","6371"," - ","COMPUTER SOFTWARE MAINTENANCE")</f>
        <v xml:space="preserve">          6371 - COMPUTER SOFTWARE MAINTENANCE</v>
      </c>
      <c r="C69" s="12"/>
      <c r="D69" s="8"/>
      <c r="E69" s="3"/>
      <c r="F69" s="7">
        <f t="shared" si="12"/>
        <v>0</v>
      </c>
      <c r="G69" s="3"/>
      <c r="H69" s="8"/>
      <c r="I69" s="3"/>
      <c r="J69" s="7">
        <f t="shared" si="13"/>
        <v>0</v>
      </c>
      <c r="K69" s="3"/>
      <c r="L69" s="8">
        <f t="shared" si="14"/>
        <v>0</v>
      </c>
      <c r="M69" s="3"/>
      <c r="N69" s="7">
        <f t="shared" si="15"/>
        <v>0</v>
      </c>
      <c r="O69" s="12"/>
      <c r="P69" s="8">
        <v>1550</v>
      </c>
      <c r="Q69" s="3"/>
      <c r="R69" s="7">
        <f t="shared" si="16"/>
        <v>6.2389207082566079E-4</v>
      </c>
      <c r="S69" s="3"/>
      <c r="T69" s="8"/>
      <c r="U69" s="3"/>
      <c r="V69" s="7">
        <f t="shared" si="17"/>
        <v>0</v>
      </c>
      <c r="W69" s="3"/>
      <c r="X69" s="8">
        <f t="shared" si="18"/>
        <v>1550</v>
      </c>
      <c r="Y69" s="3"/>
      <c r="Z69" s="7">
        <f t="shared" si="19"/>
        <v>0</v>
      </c>
    </row>
    <row r="70" spans="1:26" s="69" customFormat="1" ht="15" customHeight="1" outlineLevel="1" collapsed="1" x14ac:dyDescent="0.25">
      <c r="A70" s="26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SUM(OSRRefD22_9x_0)</f>
        <v>180.57</v>
      </c>
      <c r="E70" s="2"/>
      <c r="F70" s="6">
        <f t="shared" si="12"/>
        <v>4.3627893331842429E-4</v>
      </c>
      <c r="G70" s="2"/>
      <c r="H70" s="2">
        <f>SUM(OSRRefH22_9x_0)</f>
        <v>310</v>
      </c>
      <c r="I70" s="2"/>
      <c r="J70" s="6">
        <f t="shared" si="13"/>
        <v>7.9911324207975669E-4</v>
      </c>
      <c r="K70" s="2"/>
      <c r="L70" s="2">
        <f t="shared" si="14"/>
        <v>-129.43</v>
      </c>
      <c r="M70" s="2"/>
      <c r="N70" s="6">
        <f t="shared" si="15"/>
        <v>-0.4175161290322581</v>
      </c>
      <c r="O70" s="14"/>
      <c r="P70" s="2">
        <f>SUM(OSRRefP22_9x_0)</f>
        <v>5111.4699999999993</v>
      </c>
      <c r="Q70" s="2"/>
      <c r="R70" s="6">
        <f t="shared" si="16"/>
        <v>2.0574229698472513E-3</v>
      </c>
      <c r="S70" s="2"/>
      <c r="T70" s="2">
        <f>SUM(OSRRefT22_9x_0)</f>
        <v>3410</v>
      </c>
      <c r="U70" s="2"/>
      <c r="V70" s="6">
        <f t="shared" si="17"/>
        <v>1.5643471969971874E-3</v>
      </c>
      <c r="W70" s="2"/>
      <c r="X70" s="2">
        <f t="shared" si="18"/>
        <v>1701.4699999999993</v>
      </c>
      <c r="Y70" s="2"/>
      <c r="Z70" s="6">
        <f t="shared" si="19"/>
        <v>0.49896480938416404</v>
      </c>
    </row>
    <row r="71" spans="1:26" s="70" customFormat="1" ht="15" hidden="1" customHeight="1" outlineLevel="2" x14ac:dyDescent="0.25">
      <c r="A71" s="25"/>
      <c r="B71" s="12" t="str">
        <f>CONCATENATE("          ","6241"," - ","OFFICE EXPENSE")</f>
        <v xml:space="preserve">          6241 - OFFICE EXPENSE</v>
      </c>
      <c r="C71" s="12"/>
      <c r="D71" s="8">
        <v>180.57</v>
      </c>
      <c r="E71" s="3"/>
      <c r="F71" s="7">
        <f t="shared" si="12"/>
        <v>4.3627893331842429E-4</v>
      </c>
      <c r="G71" s="3"/>
      <c r="H71" s="8">
        <v>110</v>
      </c>
      <c r="I71" s="3"/>
      <c r="J71" s="7">
        <f t="shared" si="13"/>
        <v>2.8355631170572012E-4</v>
      </c>
      <c r="K71" s="3"/>
      <c r="L71" s="8">
        <f t="shared" si="14"/>
        <v>70.569999999999993</v>
      </c>
      <c r="M71" s="3"/>
      <c r="N71" s="7">
        <f t="shared" si="15"/>
        <v>0.64154545454545453</v>
      </c>
      <c r="O71" s="12"/>
      <c r="P71" s="8">
        <v>2199.4699999999998</v>
      </c>
      <c r="Q71" s="3"/>
      <c r="R71" s="7">
        <f t="shared" si="16"/>
        <v>8.8531089872188125E-4</v>
      </c>
      <c r="S71" s="3"/>
      <c r="T71" s="8">
        <v>1210</v>
      </c>
      <c r="U71" s="3"/>
      <c r="V71" s="7">
        <f t="shared" si="17"/>
        <v>5.5509094086996977E-4</v>
      </c>
      <c r="W71" s="3"/>
      <c r="X71" s="8">
        <f t="shared" si="18"/>
        <v>989.4699999999998</v>
      </c>
      <c r="Y71" s="3"/>
      <c r="Z71" s="7">
        <f t="shared" si="19"/>
        <v>0.8177438016528924</v>
      </c>
    </row>
    <row r="72" spans="1:26" s="70" customFormat="1" ht="15" hidden="1" customHeight="1" outlineLevel="2" x14ac:dyDescent="0.25">
      <c r="A72" s="25"/>
      <c r="B72" s="12" t="str">
        <f>CONCATENATE("          ","6247"," - ","STORE SUPPLIES")</f>
        <v xml:space="preserve">          6247 - STORE SUPPLIES</v>
      </c>
      <c r="C72" s="12"/>
      <c r="D72" s="8"/>
      <c r="E72" s="3"/>
      <c r="F72" s="7">
        <f t="shared" si="12"/>
        <v>0</v>
      </c>
      <c r="G72" s="3"/>
      <c r="H72" s="8">
        <v>200</v>
      </c>
      <c r="I72" s="3"/>
      <c r="J72" s="7">
        <f t="shared" si="13"/>
        <v>5.1555693037403651E-4</v>
      </c>
      <c r="K72" s="3"/>
      <c r="L72" s="8">
        <f t="shared" si="14"/>
        <v>-200</v>
      </c>
      <c r="M72" s="3"/>
      <c r="N72" s="7">
        <f t="shared" si="15"/>
        <v>-1</v>
      </c>
      <c r="O72" s="12"/>
      <c r="P72" s="8">
        <v>2912</v>
      </c>
      <c r="Q72" s="3"/>
      <c r="R72" s="7">
        <f t="shared" si="16"/>
        <v>1.1721120711253705E-3</v>
      </c>
      <c r="S72" s="3"/>
      <c r="T72" s="8">
        <v>2200</v>
      </c>
      <c r="U72" s="3"/>
      <c r="V72" s="7">
        <f t="shared" si="17"/>
        <v>1.0092562561272176E-3</v>
      </c>
      <c r="W72" s="3"/>
      <c r="X72" s="8">
        <f t="shared" si="18"/>
        <v>712</v>
      </c>
      <c r="Y72" s="3"/>
      <c r="Z72" s="7">
        <f t="shared" si="19"/>
        <v>0.32363636363636361</v>
      </c>
    </row>
    <row r="73" spans="1:26" s="69" customFormat="1" ht="15" customHeight="1" outlineLevel="1" collapsed="1" x14ac:dyDescent="0.25">
      <c r="A73" s="26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SUM(OSRRefD22_10x_0)</f>
        <v>96.45</v>
      </c>
      <c r="E73" s="2"/>
      <c r="F73" s="6">
        <f t="shared" si="12"/>
        <v>2.3303485140700018E-4</v>
      </c>
      <c r="G73" s="2"/>
      <c r="H73" s="2">
        <f>SUM(OSRRefH22_10x_0)</f>
        <v>325</v>
      </c>
      <c r="I73" s="2"/>
      <c r="J73" s="6">
        <f t="shared" si="13"/>
        <v>8.3778001185780943E-4</v>
      </c>
      <c r="K73" s="2"/>
      <c r="L73" s="2">
        <f t="shared" si="14"/>
        <v>-228.55</v>
      </c>
      <c r="M73" s="2"/>
      <c r="N73" s="6">
        <f t="shared" si="15"/>
        <v>-0.70323076923076921</v>
      </c>
      <c r="O73" s="14"/>
      <c r="P73" s="2">
        <f>SUM(OSRRefP22_10x_0)</f>
        <v>2011.66</v>
      </c>
      <c r="Q73" s="2"/>
      <c r="R73" s="6">
        <f t="shared" si="16"/>
        <v>8.097153052884831E-4</v>
      </c>
      <c r="S73" s="2"/>
      <c r="T73" s="2">
        <f>SUM(OSRRefT22_10x_0)</f>
        <v>3575</v>
      </c>
      <c r="U73" s="2"/>
      <c r="V73" s="6">
        <f t="shared" si="17"/>
        <v>1.6400414162067287E-3</v>
      </c>
      <c r="W73" s="2"/>
      <c r="X73" s="2">
        <f t="shared" si="18"/>
        <v>-1563.34</v>
      </c>
      <c r="Y73" s="2"/>
      <c r="Z73" s="6">
        <f t="shared" si="19"/>
        <v>-0.43729790209790209</v>
      </c>
    </row>
    <row r="74" spans="1:26" s="70" customFormat="1" ht="15" hidden="1" customHeight="1" outlineLevel="2" x14ac:dyDescent="0.25">
      <c r="A74" s="25"/>
      <c r="B74" s="12" t="str">
        <f>CONCATENATE("          ","6309"," - ","TELEPHONE")</f>
        <v xml:space="preserve">          6309 - TELEPHONE</v>
      </c>
      <c r="C74" s="12"/>
      <c r="D74" s="8">
        <v>96.45</v>
      </c>
      <c r="E74" s="3"/>
      <c r="F74" s="7">
        <f t="shared" si="12"/>
        <v>2.3303485140700018E-4</v>
      </c>
      <c r="G74" s="3"/>
      <c r="H74" s="8">
        <v>325</v>
      </c>
      <c r="I74" s="3"/>
      <c r="J74" s="7">
        <f t="shared" si="13"/>
        <v>8.3778001185780943E-4</v>
      </c>
      <c r="K74" s="3"/>
      <c r="L74" s="8">
        <f t="shared" si="14"/>
        <v>-228.55</v>
      </c>
      <c r="M74" s="3"/>
      <c r="N74" s="7">
        <f t="shared" si="15"/>
        <v>-0.70323076923076921</v>
      </c>
      <c r="O74" s="12"/>
      <c r="P74" s="8">
        <v>2011.66</v>
      </c>
      <c r="Q74" s="3"/>
      <c r="R74" s="7">
        <f t="shared" si="16"/>
        <v>8.097153052884831E-4</v>
      </c>
      <c r="S74" s="3"/>
      <c r="T74" s="8">
        <v>3575</v>
      </c>
      <c r="U74" s="3"/>
      <c r="V74" s="7">
        <f t="shared" si="17"/>
        <v>1.6400414162067287E-3</v>
      </c>
      <c r="W74" s="3"/>
      <c r="X74" s="8">
        <f t="shared" si="18"/>
        <v>-1563.34</v>
      </c>
      <c r="Y74" s="3"/>
      <c r="Z74" s="7">
        <f t="shared" si="19"/>
        <v>-0.43729790209790209</v>
      </c>
    </row>
    <row r="75" spans="1:26" s="65" customFormat="1" ht="15" customHeight="1" x14ac:dyDescent="0.25">
      <c r="A75" s="35"/>
      <c r="B75" s="35"/>
      <c r="C75" s="35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5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3" customFormat="1" ht="15" customHeight="1" collapsed="1" x14ac:dyDescent="0.25">
      <c r="A76" s="11"/>
      <c r="B76" s="27" t="s">
        <v>291</v>
      </c>
      <c r="C76" s="11"/>
      <c r="D76" s="5">
        <f>SUM(OSRRefD25x_0)</f>
        <v>-1073.31</v>
      </c>
      <c r="E76" s="5"/>
      <c r="F76" s="13">
        <f>IF(D$12=0,0,D76/D$12)</f>
        <v>-2.5932466185966548E-3</v>
      </c>
      <c r="G76" s="5"/>
      <c r="H76" s="5">
        <f>SUM(OSRRefH25x_0)</f>
        <v>829</v>
      </c>
      <c r="I76" s="5"/>
      <c r="J76" s="13">
        <f>IF(H$12=0,0,H76/H$12)</f>
        <v>2.1369834764003817E-3</v>
      </c>
      <c r="K76" s="5"/>
      <c r="L76" s="5">
        <f>+D76-H76</f>
        <v>-1902.31</v>
      </c>
      <c r="M76" s="5"/>
      <c r="N76" s="13">
        <f>IF(H76=0,0,L76/H76)</f>
        <v>-2.294704463208685</v>
      </c>
      <c r="O76" s="11"/>
      <c r="P76" s="5">
        <f>SUM(OSRRefP25x_0)</f>
        <v>3764.77</v>
      </c>
      <c r="Q76" s="5"/>
      <c r="R76" s="13">
        <f>IF(P$12=0,0,P76/P$12)</f>
        <v>1.5153613880531116E-3</v>
      </c>
      <c r="S76" s="5"/>
      <c r="T76" s="5">
        <f>SUM(OSRRefT25x_0)</f>
        <v>17576</v>
      </c>
      <c r="U76" s="5"/>
      <c r="V76" s="13">
        <f>IF(T$12=0,0,T76/T$12)</f>
        <v>8.0630399807690815E-3</v>
      </c>
      <c r="W76" s="5"/>
      <c r="X76" s="5">
        <f>+P76-T76</f>
        <v>-13811.23</v>
      </c>
      <c r="Y76" s="5"/>
      <c r="Z76" s="13">
        <f>IF(T76=0,0,X76/T76)</f>
        <v>-0.785800523441056</v>
      </c>
    </row>
    <row r="77" spans="1:26" s="70" customFormat="1" ht="15" hidden="1" customHeight="1" outlineLevel="1" x14ac:dyDescent="0.25">
      <c r="A77" s="42"/>
      <c r="B77" s="12" t="str">
        <f>CONCATENATE("          ","4187"," - ","NON-TAXABLE SALES-COMPUTER REP")</f>
        <v xml:space="preserve">          4187 - NON-TAXABLE SALES-COMPUTER REP</v>
      </c>
      <c r="C77" s="12"/>
      <c r="D77" s="3">
        <f>0</f>
        <v>0</v>
      </c>
      <c r="E77" s="3"/>
      <c r="F77" s="20">
        <f>IF(D$12=0,0,D77/D$12)</f>
        <v>0</v>
      </c>
      <c r="G77" s="3"/>
      <c r="H77" s="3"/>
      <c r="I77" s="3"/>
      <c r="J77" s="20">
        <f>IF(H$12=0,0,H77/H$12)</f>
        <v>0</v>
      </c>
      <c r="K77" s="3"/>
      <c r="L77" s="3">
        <f>+D77-H77</f>
        <v>0</v>
      </c>
      <c r="M77" s="3"/>
      <c r="N77" s="20">
        <f>IF(H77=0,0,L77/H77)</f>
        <v>0</v>
      </c>
      <c r="O77" s="12"/>
      <c r="P77" s="3">
        <f>0</f>
        <v>0</v>
      </c>
      <c r="Q77" s="3"/>
      <c r="R77" s="20">
        <f>IF(P$12=0,0,P77/P$12)</f>
        <v>0</v>
      </c>
      <c r="S77" s="3"/>
      <c r="T77" s="3"/>
      <c r="U77" s="3"/>
      <c r="V77" s="20">
        <f>IF(T$12=0,0,T77/T$12)</f>
        <v>0</v>
      </c>
      <c r="W77" s="3"/>
      <c r="X77" s="3">
        <f>+P77-T77</f>
        <v>0</v>
      </c>
      <c r="Y77" s="3"/>
      <c r="Z77" s="20">
        <f>IF(T77=0,0,X77/T77)</f>
        <v>0</v>
      </c>
    </row>
    <row r="78" spans="1:26" s="70" customFormat="1" ht="15" hidden="1" customHeight="1" outlineLevel="1" x14ac:dyDescent="0.25">
      <c r="A78" s="42"/>
      <c r="B78" s="12" t="str">
        <f>CONCATENATE("          ","9087"," - ","")</f>
        <v xml:space="preserve">          9087 - </v>
      </c>
      <c r="C78" s="12"/>
      <c r="D78" s="3">
        <f>-1290.36</f>
        <v>-1290.3599999999999</v>
      </c>
      <c r="E78" s="3"/>
      <c r="F78" s="20">
        <f>IF(D$12=0,0,D78/D$12)</f>
        <v>-3.117665638792501E-3</v>
      </c>
      <c r="G78" s="3"/>
      <c r="H78" s="3"/>
      <c r="I78" s="3"/>
      <c r="J78" s="20">
        <f>IF(H$12=0,0,H78/H$12)</f>
        <v>0</v>
      </c>
      <c r="K78" s="3"/>
      <c r="L78" s="3">
        <f>+D78-H78</f>
        <v>-1290.3599999999999</v>
      </c>
      <c r="M78" s="3"/>
      <c r="N78" s="20">
        <f>IF(H78=0,0,L78/H78)</f>
        <v>0</v>
      </c>
      <c r="O78" s="12"/>
      <c r="P78" s="3">
        <f>--705.64</f>
        <v>705.64</v>
      </c>
      <c r="Q78" s="3"/>
      <c r="R78" s="20">
        <f>IF(P$12=0,0,P78/P$12)</f>
        <v>2.8402787152091561E-4</v>
      </c>
      <c r="S78" s="3"/>
      <c r="T78" s="3"/>
      <c r="U78" s="3"/>
      <c r="V78" s="20">
        <f>IF(T$12=0,0,T78/T$12)</f>
        <v>0</v>
      </c>
      <c r="W78" s="3"/>
      <c r="X78" s="3">
        <f>+P78-T78</f>
        <v>705.64</v>
      </c>
      <c r="Y78" s="3"/>
      <c r="Z78" s="20">
        <f>IF(T78=0,0,X78/T78)</f>
        <v>0</v>
      </c>
    </row>
    <row r="79" spans="1:26" s="70" customFormat="1" ht="15" hidden="1" customHeight="1" outlineLevel="1" x14ac:dyDescent="0.25">
      <c r="A79" s="42"/>
      <c r="B79" s="12" t="str">
        <f>CONCATENATE("          ","9150"," - ","MISC. INCOME")</f>
        <v xml:space="preserve">          9150 - MISC. INCOME</v>
      </c>
      <c r="C79" s="12"/>
      <c r="D79" s="3">
        <f>--217.05</f>
        <v>217.05</v>
      </c>
      <c r="E79" s="3"/>
      <c r="F79" s="20">
        <f>IF(D$12=0,0,D79/D$12)</f>
        <v>5.2441902019584644E-4</v>
      </c>
      <c r="G79" s="3"/>
      <c r="H79" s="3">
        <v>829</v>
      </c>
      <c r="I79" s="3"/>
      <c r="J79" s="20">
        <f>IF(H$12=0,0,H79/H$12)</f>
        <v>2.1369834764003817E-3</v>
      </c>
      <c r="K79" s="3"/>
      <c r="L79" s="3">
        <f>+D79-H79</f>
        <v>-611.95000000000005</v>
      </c>
      <c r="M79" s="3"/>
      <c r="N79" s="20">
        <f>IF(H79=0,0,L79/H79)</f>
        <v>-0.7381785283474066</v>
      </c>
      <c r="O79" s="12"/>
      <c r="P79" s="3">
        <f>--3059.13</f>
        <v>3059.13</v>
      </c>
      <c r="Q79" s="3"/>
      <c r="R79" s="20">
        <f>IF(P$12=0,0,P79/P$12)</f>
        <v>1.231333516532196E-3</v>
      </c>
      <c r="S79" s="3"/>
      <c r="T79" s="3">
        <v>17576</v>
      </c>
      <c r="U79" s="3"/>
      <c r="V79" s="20">
        <f>IF(T$12=0,0,T79/T$12)</f>
        <v>8.0630399807690815E-3</v>
      </c>
      <c r="W79" s="3"/>
      <c r="X79" s="3">
        <f>+P79-T79</f>
        <v>-14516.869999999999</v>
      </c>
      <c r="Y79" s="3"/>
      <c r="Z79" s="20">
        <f>IF(T79=0,0,X79/T79)</f>
        <v>-0.82594845243513881</v>
      </c>
    </row>
    <row r="80" spans="1:26" ht="15" customHeight="1" x14ac:dyDescent="0.25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25">
      <c r="A81" s="11"/>
      <c r="B81" s="28" t="s">
        <v>292</v>
      </c>
      <c r="C81" s="28"/>
      <c r="D81" s="22">
        <f>+D31-D33+D76</f>
        <v>54141.979999999996</v>
      </c>
      <c r="E81" s="15"/>
      <c r="F81" s="21">
        <f>IF(D$12=0,0,D81/D$12)</f>
        <v>0.13081356416983697</v>
      </c>
      <c r="G81" s="15"/>
      <c r="H81" s="22">
        <f>+H31-H33+H76</f>
        <v>26011.266523130002</v>
      </c>
      <c r="I81" s="15"/>
      <c r="J81" s="21">
        <f>IF(H$12=0,0,H81/H$12)</f>
        <v>6.7051443619029205E-2</v>
      </c>
      <c r="K81" s="16"/>
      <c r="L81" s="22">
        <f>+D81-H81</f>
        <v>28130.713476869994</v>
      </c>
      <c r="M81" s="16"/>
      <c r="N81" s="21">
        <f>IF(H81=0,0,L81/H81)</f>
        <v>1.0814818821626897</v>
      </c>
      <c r="O81" s="27"/>
      <c r="P81" s="22">
        <f>+P31-P33+P76</f>
        <v>207475.48000000068</v>
      </c>
      <c r="Q81" s="15"/>
      <c r="R81" s="21">
        <f>IF(P$12=0,0,P81/P$12)</f>
        <v>8.351116571790218E-2</v>
      </c>
      <c r="S81" s="15"/>
      <c r="T81" s="22">
        <f>+T31-T33+T76</f>
        <v>71155.55030956</v>
      </c>
      <c r="U81" s="15"/>
      <c r="V81" s="21">
        <f>IF(T$12=0,0,T81/T$12)</f>
        <v>3.2642811049135641E-2</v>
      </c>
      <c r="W81" s="16"/>
      <c r="X81" s="22">
        <f>+P81-T81</f>
        <v>136319.92969044068</v>
      </c>
      <c r="Y81" s="16"/>
      <c r="Z81" s="21">
        <f>IF(T81=0,0,X81/T81)</f>
        <v>1.915801776493683</v>
      </c>
    </row>
    <row r="82" spans="1:26" ht="15" customHeight="1" x14ac:dyDescent="0.25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25">
      <c r="A83" s="49"/>
      <c r="B83" s="11" t="s">
        <v>293</v>
      </c>
      <c r="C83" s="11"/>
      <c r="D83" s="5">
        <v>44753.760000000002</v>
      </c>
      <c r="E83" s="5"/>
      <c r="F83" s="13">
        <f>IF(D$12=0,0,D83/D$12)</f>
        <v>0.10813049052881855</v>
      </c>
      <c r="G83" s="5"/>
      <c r="H83" s="5">
        <v>49787</v>
      </c>
      <c r="I83" s="5"/>
      <c r="J83" s="13">
        <f>IF(H$12=0,0,H83/H$12)</f>
        <v>0.12834016446266078</v>
      </c>
      <c r="K83" s="5"/>
      <c r="L83" s="5">
        <f>+D83-H83</f>
        <v>-5033.239999999998</v>
      </c>
      <c r="M83" s="5"/>
      <c r="N83" s="13">
        <f>IF(H83=0,0,L83/H83)</f>
        <v>-0.10109546668809123</v>
      </c>
      <c r="O83" s="11"/>
      <c r="P83" s="5">
        <v>279310.01</v>
      </c>
      <c r="Q83" s="5"/>
      <c r="R83" s="13">
        <f>IF(P$12=0,0,P83/P$12)</f>
        <v>0.1124253551878942</v>
      </c>
      <c r="S83" s="5"/>
      <c r="T83" s="5">
        <v>270217</v>
      </c>
      <c r="U83" s="5"/>
      <c r="V83" s="13">
        <f>IF(T$12=0,0,T83/T$12)</f>
        <v>0.12396281716451289</v>
      </c>
      <c r="W83" s="5"/>
      <c r="X83" s="5">
        <f>+P83-T83</f>
        <v>9093.0100000000093</v>
      </c>
      <c r="Y83" s="5"/>
      <c r="Z83" s="13">
        <f>IF(T83=0,0,X83/T83)</f>
        <v>3.3650769566681629E-2</v>
      </c>
    </row>
    <row r="84" spans="1:26" ht="15" customHeight="1" x14ac:dyDescent="0.25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25">
      <c r="A85" s="11"/>
      <c r="B85" s="28" t="s">
        <v>294</v>
      </c>
      <c r="C85" s="28"/>
      <c r="D85" s="34">
        <f>+D81-D83</f>
        <v>9388.2199999999939</v>
      </c>
      <c r="E85" s="15"/>
      <c r="F85" s="32">
        <f>IF(D$12=0,0,D85/D$12)</f>
        <v>2.2683073641018413E-2</v>
      </c>
      <c r="G85" s="15"/>
      <c r="H85" s="34">
        <f>+H81-H83</f>
        <v>-23775.733476869998</v>
      </c>
      <c r="I85" s="15"/>
      <c r="J85" s="32">
        <f>IF(H$12=0,0,H85/H$12)</f>
        <v>-6.1288720843631579E-2</v>
      </c>
      <c r="K85" s="16"/>
      <c r="L85" s="34">
        <f>D85-H85</f>
        <v>33163.953476869996</v>
      </c>
      <c r="M85" s="16"/>
      <c r="N85" s="32">
        <f>IF(H85=0,0,L85/H85)</f>
        <v>-1.3948656309229426</v>
      </c>
      <c r="O85" s="27"/>
      <c r="P85" s="34">
        <f>+P81-P83</f>
        <v>-71834.529999999329</v>
      </c>
      <c r="Q85" s="15"/>
      <c r="R85" s="32">
        <f>IF(P$12=0,0,P85/P$12)</f>
        <v>-2.8914189469992021E-2</v>
      </c>
      <c r="S85" s="15"/>
      <c r="T85" s="34">
        <f>+T81-T83</f>
        <v>-199061.44969044</v>
      </c>
      <c r="U85" s="15"/>
      <c r="V85" s="32">
        <f>IF(T$12=0,0,T85/T$12)</f>
        <v>-9.1320006115377259E-2</v>
      </c>
      <c r="W85" s="16"/>
      <c r="X85" s="34">
        <f>P85-T85</f>
        <v>127226.91969044067</v>
      </c>
      <c r="Y85" s="16"/>
      <c r="Z85" s="32">
        <f>IF(T85=0,0,X85/T85)</f>
        <v>-0.63913389502734441</v>
      </c>
    </row>
    <row r="86" spans="1:26" ht="15" customHeight="1" x14ac:dyDescent="0.25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25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25">
      <c r="A88" s="11"/>
      <c r="B88" s="28" t="s">
        <v>297</v>
      </c>
      <c r="C88" s="28"/>
      <c r="D88" s="30">
        <f>SUM(D85:D87)</f>
        <v>9388.2199999999939</v>
      </c>
      <c r="E88" s="15"/>
      <c r="F88" s="33">
        <f>IF(D$12=0,0,D88/D$12)</f>
        <v>2.2683073641018413E-2</v>
      </c>
      <c r="G88" s="15"/>
      <c r="H88" s="30">
        <f>SUM(H85:H87)</f>
        <v>-23775.733476869998</v>
      </c>
      <c r="I88" s="15"/>
      <c r="J88" s="33">
        <f>IF(H$12=0,0,H88/H$12)</f>
        <v>-6.1288720843631579E-2</v>
      </c>
      <c r="K88" s="16"/>
      <c r="L88" s="30">
        <f>+D88-H88</f>
        <v>33163.953476869996</v>
      </c>
      <c r="M88" s="16"/>
      <c r="N88" s="33">
        <f>IF(H88=0,0,L88/H88)</f>
        <v>-1.3948656309229426</v>
      </c>
      <c r="O88" s="27"/>
      <c r="P88" s="30">
        <f>SUM(P85:P87)</f>
        <v>-71834.529999999329</v>
      </c>
      <c r="Q88" s="15"/>
      <c r="R88" s="33">
        <f>IF(P$12=0,0,P88/P$12)</f>
        <v>-2.8914189469992021E-2</v>
      </c>
      <c r="S88" s="15"/>
      <c r="T88" s="30">
        <f>SUM(T85:T87)</f>
        <v>-199061.44969044</v>
      </c>
      <c r="U88" s="15"/>
      <c r="V88" s="33">
        <f>IF(T$12=0,0,T88/T$12)</f>
        <v>-9.1320006115377259E-2</v>
      </c>
      <c r="W88" s="16"/>
      <c r="X88" s="30">
        <f>+P88-T88</f>
        <v>127226.91969044067</v>
      </c>
      <c r="Y88" s="16"/>
      <c r="Z88" s="33">
        <f>IF(T88=0,0,X88/T88)</f>
        <v>-0.63913389502734441</v>
      </c>
    </row>
    <row r="89" spans="1:26" ht="15" customHeight="1" x14ac:dyDescent="0.25">
      <c r="A89" s="10"/>
      <c r="C89" s="10"/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  <row r="90" spans="1:26" ht="15" customHeight="1" x14ac:dyDescent="0.25">
      <c r="A90" s="10"/>
      <c r="B90" s="54">
        <v>44727.874527581022</v>
      </c>
      <c r="D90" s="18"/>
      <c r="E90" s="18"/>
      <c r="G90" s="18"/>
      <c r="H90" s="18"/>
      <c r="I90" s="18"/>
      <c r="J90" s="40"/>
      <c r="K90" s="18"/>
      <c r="L90" s="18"/>
      <c r="M90" s="18"/>
      <c r="P90" s="18"/>
      <c r="Q90" s="18"/>
      <c r="R90" s="40"/>
      <c r="S90" s="18"/>
      <c r="T90" s="18"/>
      <c r="U90" s="18"/>
      <c r="V90" s="40"/>
      <c r="W90" s="18"/>
      <c r="X90" s="18"/>
    </row>
    <row r="91" spans="1:26" ht="15" customHeight="1" x14ac:dyDescent="0.25">
      <c r="A91" s="10"/>
      <c r="B91" s="50" t="s">
        <v>298</v>
      </c>
      <c r="D91" s="18"/>
      <c r="E91" s="18"/>
      <c r="G91" s="18"/>
      <c r="H91" s="18"/>
      <c r="I91" s="18"/>
      <c r="J91" s="40"/>
      <c r="K91" s="18"/>
      <c r="L91" s="18"/>
      <c r="M91" s="18"/>
      <c r="P91" s="18"/>
      <c r="Q91" s="18"/>
      <c r="R91" s="40"/>
      <c r="S91" s="18"/>
      <c r="T91" s="18"/>
      <c r="U91" s="18"/>
      <c r="V91" s="40"/>
      <c r="W91" s="18"/>
      <c r="X91" s="18"/>
    </row>
    <row r="92" spans="1:26" ht="15" customHeight="1" x14ac:dyDescent="0.25">
      <c r="A92" s="10"/>
      <c r="B92" s="58"/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25"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EC858-30A5-ECE9-4487-5E2B6C80CD23}">
  <sheetPr>
    <tabColor rgb="FFFFFF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304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86419.26</v>
      </c>
      <c r="E12" s="5"/>
      <c r="F12" s="13"/>
      <c r="G12" s="5"/>
      <c r="H12" s="5">
        <f>SUM(OSRRefH13x_0)</f>
        <v>42770</v>
      </c>
      <c r="I12" s="5"/>
      <c r="J12" s="13"/>
      <c r="K12" s="5"/>
      <c r="L12" s="5">
        <f t="shared" ref="L12:L18" si="0">+D12-H12</f>
        <v>43649.259999999995</v>
      </c>
      <c r="M12" s="5"/>
      <c r="N12" s="13">
        <f t="shared" ref="N12:N18" si="1">IF(H12=0,0,L12/H12)</f>
        <v>1.0205578676642506</v>
      </c>
      <c r="O12" s="11"/>
      <c r="P12" s="5">
        <f>SUM(OSRRefP13x_0)</f>
        <v>497963.9</v>
      </c>
      <c r="Q12" s="5"/>
      <c r="R12" s="13"/>
      <c r="S12" s="5"/>
      <c r="T12" s="5">
        <f>SUM(OSRRefT13x_0)</f>
        <v>504884</v>
      </c>
      <c r="U12" s="5"/>
      <c r="V12" s="13"/>
      <c r="W12" s="5"/>
      <c r="X12" s="5">
        <f t="shared" ref="X12:X18" si="2">+P12-T12</f>
        <v>-6920.0999999999767</v>
      </c>
      <c r="Y12" s="5"/>
      <c r="Z12" s="13">
        <f t="shared" ref="Z12:Z18" si="3">IF(T12=0,0,X12/T12)</f>
        <v>-1.3706316698489112E-2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--13320.29</f>
        <v>13320.29</v>
      </c>
      <c r="E13" s="3"/>
      <c r="F13" s="20"/>
      <c r="G13" s="3"/>
      <c r="H13" s="3">
        <v>8502</v>
      </c>
      <c r="I13" s="3"/>
      <c r="J13" s="20"/>
      <c r="K13" s="3"/>
      <c r="L13" s="3">
        <f t="shared" si="0"/>
        <v>4818.2900000000009</v>
      </c>
      <c r="M13" s="3"/>
      <c r="N13" s="20">
        <f t="shared" si="1"/>
        <v>0.56672430016466724</v>
      </c>
      <c r="O13" s="12"/>
      <c r="P13" s="3">
        <f>--75732.04</f>
        <v>75732.039999999994</v>
      </c>
      <c r="Q13" s="3"/>
      <c r="R13" s="20"/>
      <c r="S13" s="3"/>
      <c r="T13" s="3">
        <v>98716</v>
      </c>
      <c r="U13" s="3"/>
      <c r="V13" s="20"/>
      <c r="W13" s="3"/>
      <c r="X13" s="3">
        <f t="shared" si="2"/>
        <v>-22983.960000000006</v>
      </c>
      <c r="Y13" s="3"/>
      <c r="Z13" s="20">
        <f t="shared" si="3"/>
        <v>-0.23282912597755184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--275.74</f>
        <v>275.74</v>
      </c>
      <c r="E15" s="3"/>
      <c r="F15" s="20"/>
      <c r="G15" s="3"/>
      <c r="H15" s="3"/>
      <c r="I15" s="3"/>
      <c r="J15" s="20"/>
      <c r="K15" s="3"/>
      <c r="L15" s="3">
        <f t="shared" si="0"/>
        <v>275.74</v>
      </c>
      <c r="M15" s="3"/>
      <c r="N15" s="20">
        <f t="shared" si="1"/>
        <v>0</v>
      </c>
      <c r="O15" s="12"/>
      <c r="P15" s="3">
        <f>--1827.05</f>
        <v>1827.05</v>
      </c>
      <c r="Q15" s="3"/>
      <c r="R15" s="20"/>
      <c r="S15" s="3"/>
      <c r="T15" s="3"/>
      <c r="U15" s="3"/>
      <c r="V15" s="20"/>
      <c r="W15" s="3"/>
      <c r="X15" s="3">
        <f t="shared" si="2"/>
        <v>1827.05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--72823.23</f>
        <v>72823.23</v>
      </c>
      <c r="E16" s="3"/>
      <c r="F16" s="20"/>
      <c r="G16" s="3"/>
      <c r="H16" s="3">
        <v>34268</v>
      </c>
      <c r="I16" s="3"/>
      <c r="J16" s="20"/>
      <c r="K16" s="3"/>
      <c r="L16" s="3">
        <f t="shared" si="0"/>
        <v>38555.229999999996</v>
      </c>
      <c r="M16" s="3"/>
      <c r="N16" s="20">
        <f t="shared" si="1"/>
        <v>1.1251088479047506</v>
      </c>
      <c r="O16" s="12"/>
      <c r="P16" s="3">
        <f>--420173.32</f>
        <v>420173.32</v>
      </c>
      <c r="Q16" s="3"/>
      <c r="R16" s="20"/>
      <c r="S16" s="3"/>
      <c r="T16" s="3">
        <v>406168</v>
      </c>
      <c r="U16" s="3"/>
      <c r="V16" s="20"/>
      <c r="W16" s="3"/>
      <c r="X16" s="3">
        <f t="shared" si="2"/>
        <v>14005.320000000007</v>
      </c>
      <c r="Y16" s="3"/>
      <c r="Z16" s="20">
        <f t="shared" si="3"/>
        <v>3.4481593823245574E-2</v>
      </c>
    </row>
    <row r="17" spans="1:26" s="70" customFormat="1" ht="15" hidden="1" customHeight="1" outlineLevel="1" x14ac:dyDescent="0.25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--206.32</f>
        <v>206.32</v>
      </c>
      <c r="Q17" s="3"/>
      <c r="R17" s="20"/>
      <c r="S17" s="3"/>
      <c r="T17" s="3"/>
      <c r="U17" s="3"/>
      <c r="V17" s="20"/>
      <c r="W17" s="3"/>
      <c r="X17" s="3">
        <f t="shared" si="2"/>
        <v>206.32</v>
      </c>
      <c r="Y17" s="3"/>
      <c r="Z17" s="20">
        <f t="shared" si="3"/>
        <v>0</v>
      </c>
    </row>
    <row r="18" spans="1:26" s="70" customFormat="1" ht="15" hidden="1" customHeight="1" outlineLevel="1" x14ac:dyDescent="0.25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25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25">
      <c r="A20" s="11"/>
      <c r="B20" s="27" t="s">
        <v>288</v>
      </c>
      <c r="C20" s="11"/>
      <c r="D20" s="5">
        <f>SUM(OSRRefD16x_0)</f>
        <v>38092</v>
      </c>
      <c r="E20" s="5"/>
      <c r="F20" s="13">
        <f>IF(D$12=0,0,D20/D$12)</f>
        <v>0.44078137211542895</v>
      </c>
      <c r="G20" s="5"/>
      <c r="H20" s="5">
        <f>SUM(OSRRefH16x_0)</f>
        <v>20959</v>
      </c>
      <c r="I20" s="5"/>
      <c r="J20" s="13">
        <f>IF(H$12=0,0,H20/H$12)</f>
        <v>0.49003974748655599</v>
      </c>
      <c r="K20" s="5"/>
      <c r="L20" s="5">
        <f>+D20-H20</f>
        <v>17133</v>
      </c>
      <c r="M20" s="5"/>
      <c r="N20" s="13">
        <f>IF(H20=0,0,L20/H20)</f>
        <v>0.81745312276349058</v>
      </c>
      <c r="O20" s="11"/>
      <c r="P20" s="5">
        <f>SUM(OSRRefP16x_0)</f>
        <v>226016.95</v>
      </c>
      <c r="Q20" s="5"/>
      <c r="R20" s="13">
        <f>IF(P$12=0,0,P20/P$12)</f>
        <v>0.45388219909113892</v>
      </c>
      <c r="S20" s="5"/>
      <c r="T20" s="5">
        <f>SUM(OSRRefT16x_0)</f>
        <v>247568</v>
      </c>
      <c r="U20" s="5"/>
      <c r="V20" s="13">
        <f>IF(T$12=0,0,T20/T$12)</f>
        <v>0.49034629736731605</v>
      </c>
      <c r="W20" s="5"/>
      <c r="X20" s="5">
        <f>+P20-T20</f>
        <v>-21551.049999999988</v>
      </c>
      <c r="Y20" s="5"/>
      <c r="Z20" s="13">
        <f>IF(T20=0,0,X20/T20)</f>
        <v>-8.7051032443611412E-2</v>
      </c>
    </row>
    <row r="21" spans="1:26" s="70" customFormat="1" ht="15" hidden="1" customHeight="1" outlineLevel="1" x14ac:dyDescent="0.25">
      <c r="A21" s="42"/>
      <c r="B21" s="12" t="str">
        <f>CONCATENATE("          ","5000"," - ","PURCHASES @ COST")</f>
        <v xml:space="preserve">          5000 - PURCHASES @ COST</v>
      </c>
      <c r="C21" s="12"/>
      <c r="D21" s="3">
        <v>0</v>
      </c>
      <c r="E21" s="3"/>
      <c r="F21" s="20">
        <f>IF(D$12=0,0,D21/D$12)</f>
        <v>0</v>
      </c>
      <c r="G21" s="3"/>
      <c r="H21" s="3">
        <v>20959</v>
      </c>
      <c r="I21" s="3"/>
      <c r="J21" s="20">
        <f>IF(H$12=0,0,H21/H$12)</f>
        <v>0.49003974748655599</v>
      </c>
      <c r="K21" s="3"/>
      <c r="L21" s="3">
        <f>+D21-H21</f>
        <v>-20959</v>
      </c>
      <c r="M21" s="3"/>
      <c r="N21" s="20">
        <f>IF(H21=0,0,L21/H21)</f>
        <v>-1</v>
      </c>
      <c r="O21" s="12"/>
      <c r="P21" s="3">
        <v>-8062</v>
      </c>
      <c r="Q21" s="3"/>
      <c r="R21" s="20">
        <f>IF(P$12=0,0,P21/P$12)</f>
        <v>-1.6189928627356319E-2</v>
      </c>
      <c r="S21" s="3"/>
      <c r="T21" s="3">
        <v>247568</v>
      </c>
      <c r="U21" s="3"/>
      <c r="V21" s="20">
        <f>IF(T$12=0,0,T21/T$12)</f>
        <v>0.49034629736731605</v>
      </c>
      <c r="W21" s="3"/>
      <c r="X21" s="3">
        <f>+P21-T21</f>
        <v>-255630</v>
      </c>
      <c r="Y21" s="3"/>
      <c r="Z21" s="20">
        <f>IF(T21=0,0,X21/T21)</f>
        <v>-1.0325647902798423</v>
      </c>
    </row>
    <row r="22" spans="1:26" s="70" customFormat="1" ht="15" hidden="1" customHeight="1" outlineLevel="1" x14ac:dyDescent="0.25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18738.490000000002</v>
      </c>
      <c r="E22" s="3"/>
      <c r="F22" s="20">
        <f>IF(D$12=0,0,D22/D$12)</f>
        <v>0.21683233575478433</v>
      </c>
      <c r="G22" s="3"/>
      <c r="H22" s="3"/>
      <c r="I22" s="3"/>
      <c r="J22" s="20">
        <f>IF(H$12=0,0,H22/H$12)</f>
        <v>0</v>
      </c>
      <c r="K22" s="3"/>
      <c r="L22" s="3">
        <f>+D22-H22</f>
        <v>18738.490000000002</v>
      </c>
      <c r="M22" s="3"/>
      <c r="N22" s="20">
        <f>IF(H22=0,0,L22/H22)</f>
        <v>0</v>
      </c>
      <c r="O22" s="12"/>
      <c r="P22" s="3">
        <v>47142.63</v>
      </c>
      <c r="Q22" s="3"/>
      <c r="R22" s="20">
        <f>IF(P$12=0,0,P22/P$12)</f>
        <v>9.4670778343570683E-2</v>
      </c>
      <c r="S22" s="3"/>
      <c r="T22" s="3"/>
      <c r="U22" s="3"/>
      <c r="V22" s="20">
        <f>IF(T$12=0,0,T22/T$12)</f>
        <v>0</v>
      </c>
      <c r="W22" s="3"/>
      <c r="X22" s="3">
        <f>+P22-T22</f>
        <v>47142.63</v>
      </c>
      <c r="Y22" s="3"/>
      <c r="Z22" s="20">
        <f>IF(T22=0,0,X22/T22)</f>
        <v>0</v>
      </c>
    </row>
    <row r="23" spans="1:26" s="70" customFormat="1" ht="15" hidden="1" customHeight="1" outlineLevel="1" x14ac:dyDescent="0.25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19353.509999999998</v>
      </c>
      <c r="E23" s="3"/>
      <c r="F23" s="20">
        <f>IF(D$12=0,0,D23/D$12)</f>
        <v>0.22394903636064459</v>
      </c>
      <c r="G23" s="3"/>
      <c r="H23" s="3"/>
      <c r="I23" s="3"/>
      <c r="J23" s="20">
        <f>IF(H$12=0,0,H23/H$12)</f>
        <v>0</v>
      </c>
      <c r="K23" s="3"/>
      <c r="L23" s="3">
        <f>+D23-H23</f>
        <v>19353.509999999998</v>
      </c>
      <c r="M23" s="3"/>
      <c r="N23" s="20">
        <f>IF(H23=0,0,L23/H23)</f>
        <v>0</v>
      </c>
      <c r="O23" s="12"/>
      <c r="P23" s="3">
        <v>186936.32000000001</v>
      </c>
      <c r="Q23" s="3"/>
      <c r="R23" s="20">
        <f>IF(P$12=0,0,P23/P$12)</f>
        <v>0.37540134937492459</v>
      </c>
      <c r="S23" s="3"/>
      <c r="T23" s="3"/>
      <c r="U23" s="3"/>
      <c r="V23" s="20">
        <f>IF(T$12=0,0,T23/T$12)</f>
        <v>0</v>
      </c>
      <c r="W23" s="3"/>
      <c r="X23" s="3">
        <f>+P23-T23</f>
        <v>186936.32000000001</v>
      </c>
      <c r="Y23" s="3"/>
      <c r="Z23" s="20">
        <f>IF(T23=0,0,X23/T23)</f>
        <v>0</v>
      </c>
    </row>
    <row r="24" spans="1:26" ht="15" customHeight="1" x14ac:dyDescent="0.25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25">
      <c r="A25" s="11"/>
      <c r="B25" s="28" t="s">
        <v>289</v>
      </c>
      <c r="C25" s="28"/>
      <c r="D25" s="22">
        <f>D12-D20</f>
        <v>48327.259999999995</v>
      </c>
      <c r="E25" s="15"/>
      <c r="F25" s="21">
        <f>IF(D$12=0,0,D25/D$12)</f>
        <v>0.55921862788457111</v>
      </c>
      <c r="G25" s="15"/>
      <c r="H25" s="22">
        <f>H12-H20</f>
        <v>21811</v>
      </c>
      <c r="I25" s="15"/>
      <c r="J25" s="21">
        <f>IF(H$12=0,0,H25/H$12)</f>
        <v>0.50996025251344401</v>
      </c>
      <c r="K25" s="16"/>
      <c r="L25" s="22">
        <f>+D25-H25</f>
        <v>26516.259999999995</v>
      </c>
      <c r="M25" s="16"/>
      <c r="N25" s="21">
        <f>IF(H25=0,0,L25/H25)</f>
        <v>1.215728760717069</v>
      </c>
      <c r="O25" s="27"/>
      <c r="P25" s="22">
        <f>P12-P20</f>
        <v>271946.95</v>
      </c>
      <c r="Q25" s="15"/>
      <c r="R25" s="21">
        <f>IF(P$12=0,0,P25/P$12)</f>
        <v>0.54611780090886108</v>
      </c>
      <c r="S25" s="15"/>
      <c r="T25" s="22">
        <f>T12-T20</f>
        <v>257316</v>
      </c>
      <c r="U25" s="15"/>
      <c r="V25" s="21">
        <f>IF(T$12=0,0,T25/T$12)</f>
        <v>0.50965370263268395</v>
      </c>
      <c r="W25" s="16"/>
      <c r="X25" s="22">
        <f>+P25-T25</f>
        <v>14630.950000000012</v>
      </c>
      <c r="Y25" s="16"/>
      <c r="Z25" s="21">
        <f>IF(T25=0,0,X25/T25)</f>
        <v>5.685985325436433E-2</v>
      </c>
    </row>
    <row r="26" spans="1:26" ht="15" customHeight="1" x14ac:dyDescent="0.25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25">
      <c r="A27" s="11"/>
      <c r="B27" s="27" t="s">
        <v>290</v>
      </c>
      <c r="C27" s="11"/>
      <c r="D27" s="23" cm="1">
        <f t="array" ref="D27">SUM(OSRRefD22x_0)</f>
        <v>42842.140000000007</v>
      </c>
      <c r="E27" s="23"/>
      <c r="F27" s="31">
        <f t="shared" ref="F27:F58" si="4">IF(D$12=0,0,D27/D$12)</f>
        <v>0.49574759145125763</v>
      </c>
      <c r="G27" s="23"/>
      <c r="H27" s="23" cm="1">
        <f t="array" ref="H27">SUM(OSRRefH22x_0)</f>
        <v>32953.694589807688</v>
      </c>
      <c r="I27" s="23"/>
      <c r="J27" s="31">
        <f t="shared" ref="J27:J58" si="5">IF(H$12=0,0,H27/H$12)</f>
        <v>0.77048619569342269</v>
      </c>
      <c r="K27" s="5"/>
      <c r="L27" s="23">
        <f t="shared" ref="L27:L58" si="6">+D27-H27</f>
        <v>9888.4454101923184</v>
      </c>
      <c r="M27" s="5"/>
      <c r="N27" s="31">
        <f t="shared" ref="N27:N58" si="7">IF(H27=0,0,L27/H27)</f>
        <v>0.30007091870210917</v>
      </c>
      <c r="O27" s="11"/>
      <c r="P27" s="23" cm="1">
        <f t="array" ref="P27">SUM(OSRRefP22x_0)</f>
        <v>370833.64000000013</v>
      </c>
      <c r="Q27" s="23"/>
      <c r="R27" s="31">
        <f t="shared" ref="R27:R58" si="8">IF(P$12=0,0,P27/P$12)</f>
        <v>0.74469984671579625</v>
      </c>
      <c r="S27" s="23"/>
      <c r="T27" s="23" cm="1">
        <f t="array" ref="T27">SUM(OSRRefT22x_0)</f>
        <v>408120.66194894235</v>
      </c>
      <c r="U27" s="23"/>
      <c r="V27" s="31">
        <f t="shared" ref="V27:V58" si="9">IF(T$12=0,0,T27/T$12)</f>
        <v>0.80834540597234683</v>
      </c>
      <c r="W27" s="5"/>
      <c r="X27" s="23">
        <f t="shared" ref="X27:X58" si="10">+P27-T27</f>
        <v>-37287.021948942216</v>
      </c>
      <c r="Y27" s="5"/>
      <c r="Z27" s="31">
        <f t="shared" ref="Z27:Z58" si="11">IF(T27=0,0,X27/T27)</f>
        <v>-9.1362740055554906E-2</v>
      </c>
    </row>
    <row r="28" spans="1:26" s="69" customFormat="1" ht="15" customHeight="1" outlineLevel="1" collapsed="1" x14ac:dyDescent="0.25">
      <c r="A28" s="26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6969.4500000000016</v>
      </c>
      <c r="E28" s="2"/>
      <c r="F28" s="6">
        <f t="shared" si="4"/>
        <v>8.0646953005614738E-2</v>
      </c>
      <c r="G28" s="2"/>
      <c r="H28" s="2">
        <f>SUM(OSRRefH22_0x_0)</f>
        <v>4094.8886590384604</v>
      </c>
      <c r="I28" s="2"/>
      <c r="J28" s="6">
        <f t="shared" si="5"/>
        <v>9.5742077602021525E-2</v>
      </c>
      <c r="K28" s="2"/>
      <c r="L28" s="2">
        <f t="shared" si="6"/>
        <v>2874.5613409615412</v>
      </c>
      <c r="M28" s="2"/>
      <c r="N28" s="6">
        <f t="shared" si="7"/>
        <v>0.70198766811807045</v>
      </c>
      <c r="O28" s="14"/>
      <c r="P28" s="2">
        <f>SUM(OSRRefP22_0x_0)</f>
        <v>37955.230000000003</v>
      </c>
      <c r="Q28" s="2"/>
      <c r="R28" s="6">
        <f t="shared" si="8"/>
        <v>7.6220846531244543E-2</v>
      </c>
      <c r="S28" s="2"/>
      <c r="T28" s="2">
        <f>SUM(OSRRefT22_0x_0)</f>
        <v>49542.778329711517</v>
      </c>
      <c r="U28" s="2"/>
      <c r="V28" s="6">
        <f t="shared" si="9"/>
        <v>9.8127051619206623E-2</v>
      </c>
      <c r="W28" s="2"/>
      <c r="X28" s="2">
        <f t="shared" si="10"/>
        <v>-11587.548329711513</v>
      </c>
      <c r="Y28" s="2"/>
      <c r="Z28" s="6">
        <f t="shared" si="11"/>
        <v>-0.2338897558912697</v>
      </c>
    </row>
    <row r="29" spans="1:26" s="70" customFormat="1" ht="15" hidden="1" customHeight="1" outlineLevel="2" x14ac:dyDescent="0.25">
      <c r="A29" s="25"/>
      <c r="B29" s="12" t="str">
        <f>CONCATENATE("          ","6111"," - ","F.I.C.A.")</f>
        <v xml:space="preserve">          6111 - F.I.C.A.</v>
      </c>
      <c r="C29" s="12"/>
      <c r="D29" s="8">
        <v>1061.31</v>
      </c>
      <c r="E29" s="3"/>
      <c r="F29" s="7">
        <f t="shared" si="4"/>
        <v>1.2280942928694367E-2</v>
      </c>
      <c r="G29" s="3"/>
      <c r="H29" s="8">
        <v>519.931574423077</v>
      </c>
      <c r="I29" s="3"/>
      <c r="J29" s="7">
        <f t="shared" si="5"/>
        <v>1.2156454861423357E-2</v>
      </c>
      <c r="K29" s="3"/>
      <c r="L29" s="8">
        <f t="shared" si="6"/>
        <v>541.37842557692295</v>
      </c>
      <c r="M29" s="3"/>
      <c r="N29" s="7">
        <f t="shared" si="7"/>
        <v>1.041249372434524</v>
      </c>
      <c r="O29" s="12"/>
      <c r="P29" s="8">
        <v>7220.14</v>
      </c>
      <c r="Q29" s="3"/>
      <c r="R29" s="7">
        <f t="shared" si="8"/>
        <v>1.4499324147794649E-2</v>
      </c>
      <c r="S29" s="3"/>
      <c r="T29" s="8">
        <v>6873.5073643269197</v>
      </c>
      <c r="U29" s="3"/>
      <c r="V29" s="7">
        <f t="shared" si="9"/>
        <v>1.3614032855719174E-2</v>
      </c>
      <c r="W29" s="3"/>
      <c r="X29" s="8">
        <f t="shared" si="10"/>
        <v>346.63263567308059</v>
      </c>
      <c r="Y29" s="3"/>
      <c r="Z29" s="7">
        <f t="shared" si="11"/>
        <v>5.0430241403694807E-2</v>
      </c>
    </row>
    <row r="30" spans="1:26" s="70" customFormat="1" ht="15" hidden="1" customHeight="1" outlineLevel="2" x14ac:dyDescent="0.25">
      <c r="A30" s="25"/>
      <c r="B30" s="12" t="str">
        <f>CONCATENATE("          ","6112"," - ","COMPENSATION INSURANCE")</f>
        <v xml:space="preserve">          6112 - COMPENSATION INSURANCE</v>
      </c>
      <c r="C30" s="12"/>
      <c r="D30" s="8">
        <v>554.01</v>
      </c>
      <c r="E30" s="3"/>
      <c r="F30" s="7">
        <f t="shared" si="4"/>
        <v>6.4107237206150573E-3</v>
      </c>
      <c r="G30" s="3"/>
      <c r="H30" s="8">
        <v>474.36348438461499</v>
      </c>
      <c r="I30" s="3"/>
      <c r="J30" s="7">
        <f t="shared" si="5"/>
        <v>1.1091033069549099E-2</v>
      </c>
      <c r="K30" s="3"/>
      <c r="L30" s="8">
        <f t="shared" si="6"/>
        <v>79.646515615384999</v>
      </c>
      <c r="M30" s="3"/>
      <c r="N30" s="7">
        <f t="shared" si="7"/>
        <v>0.16790186900391224</v>
      </c>
      <c r="O30" s="12"/>
      <c r="P30" s="8">
        <v>2470.21</v>
      </c>
      <c r="Q30" s="3"/>
      <c r="R30" s="7">
        <f t="shared" si="8"/>
        <v>4.9606206393676324E-3</v>
      </c>
      <c r="S30" s="3"/>
      <c r="T30" s="8">
        <v>6638.1216341153804</v>
      </c>
      <c r="U30" s="3"/>
      <c r="V30" s="7">
        <f t="shared" si="9"/>
        <v>1.3147815407331943E-2</v>
      </c>
      <c r="W30" s="3"/>
      <c r="X30" s="8">
        <f t="shared" si="10"/>
        <v>-4167.9116341153804</v>
      </c>
      <c r="Y30" s="3"/>
      <c r="Z30" s="7">
        <f t="shared" si="11"/>
        <v>-0.62787515261774973</v>
      </c>
    </row>
    <row r="31" spans="1:26" s="70" customFormat="1" ht="15" hidden="1" customHeight="1" outlineLevel="2" x14ac:dyDescent="0.25">
      <c r="A31" s="25"/>
      <c r="B31" s="12" t="str">
        <f>CONCATENATE("          ","6113"," - ","GROUP INSURANCE")</f>
        <v xml:space="preserve">          6113 - GROUP INSURANCE</v>
      </c>
      <c r="C31" s="12"/>
      <c r="D31" s="8">
        <v>3036.65</v>
      </c>
      <c r="E31" s="3"/>
      <c r="F31" s="7">
        <f t="shared" si="4"/>
        <v>3.513857906212111E-2</v>
      </c>
      <c r="G31" s="3"/>
      <c r="H31" s="8">
        <v>1977</v>
      </c>
      <c r="I31" s="3"/>
      <c r="J31" s="7">
        <f t="shared" si="5"/>
        <v>4.6223988777180265E-2</v>
      </c>
      <c r="K31" s="3"/>
      <c r="L31" s="8">
        <f t="shared" si="6"/>
        <v>1059.6500000000001</v>
      </c>
      <c r="M31" s="3"/>
      <c r="N31" s="7">
        <f t="shared" si="7"/>
        <v>0.53598887202832579</v>
      </c>
      <c r="O31" s="12"/>
      <c r="P31" s="8">
        <v>15217.09</v>
      </c>
      <c r="Q31" s="3"/>
      <c r="R31" s="7">
        <f t="shared" si="8"/>
        <v>3.0558620815685635E-2</v>
      </c>
      <c r="S31" s="3"/>
      <c r="T31" s="8">
        <v>21747</v>
      </c>
      <c r="U31" s="3"/>
      <c r="V31" s="7">
        <f t="shared" si="9"/>
        <v>4.3073260392486191E-2</v>
      </c>
      <c r="W31" s="3"/>
      <c r="X31" s="8">
        <f t="shared" si="10"/>
        <v>-6529.91</v>
      </c>
      <c r="Y31" s="3"/>
      <c r="Z31" s="7">
        <f t="shared" si="11"/>
        <v>-0.30026716328689013</v>
      </c>
    </row>
    <row r="32" spans="1:26" s="70" customFormat="1" ht="15" hidden="1" customHeight="1" outlineLevel="2" x14ac:dyDescent="0.25">
      <c r="A32" s="25"/>
      <c r="B32" s="12" t="str">
        <f>CONCATENATE("          ","6114"," - ","STATE UNEMPLOYMENT INSURANCE")</f>
        <v xml:space="preserve">          6114 - STATE UNEMPLOYMENT INSURANCE</v>
      </c>
      <c r="C32" s="12"/>
      <c r="D32" s="8">
        <v>97.33</v>
      </c>
      <c r="E32" s="3"/>
      <c r="F32" s="7">
        <f t="shared" si="4"/>
        <v>1.1262535689382206E-3</v>
      </c>
      <c r="G32" s="3"/>
      <c r="H32" s="8">
        <v>26.283992538461501</v>
      </c>
      <c r="I32" s="3"/>
      <c r="J32" s="7">
        <f t="shared" si="5"/>
        <v>6.1454272944731119E-4</v>
      </c>
      <c r="K32" s="3"/>
      <c r="L32" s="8">
        <f t="shared" si="6"/>
        <v>71.046007461538494</v>
      </c>
      <c r="M32" s="3"/>
      <c r="N32" s="7">
        <f t="shared" si="7"/>
        <v>2.7030142912107631</v>
      </c>
      <c r="O32" s="12"/>
      <c r="P32" s="8">
        <v>411.54</v>
      </c>
      <c r="Q32" s="3"/>
      <c r="R32" s="7">
        <f t="shared" si="8"/>
        <v>8.2644545116623911E-4</v>
      </c>
      <c r="S32" s="3"/>
      <c r="T32" s="8">
        <v>367.81148896153798</v>
      </c>
      <c r="U32" s="3"/>
      <c r="V32" s="7">
        <f t="shared" si="9"/>
        <v>7.2850692230599099E-4</v>
      </c>
      <c r="W32" s="3"/>
      <c r="X32" s="8">
        <f t="shared" si="10"/>
        <v>43.728511038462045</v>
      </c>
      <c r="Y32" s="3"/>
      <c r="Z32" s="7">
        <f t="shared" si="11"/>
        <v>0.11888837720084033</v>
      </c>
    </row>
    <row r="33" spans="1:26" s="70" customFormat="1" ht="15" hidden="1" customHeight="1" outlineLevel="2" x14ac:dyDescent="0.25">
      <c r="A33" s="25"/>
      <c r="B33" s="12" t="str">
        <f>CONCATENATE("          ","6115"," - ","P.E.R.S.")</f>
        <v xml:space="preserve">          6115 - P.E.R.S.</v>
      </c>
      <c r="C33" s="12"/>
      <c r="D33" s="8">
        <v>548.17999999999995</v>
      </c>
      <c r="E33" s="3"/>
      <c r="F33" s="7">
        <f t="shared" si="4"/>
        <v>6.3432619071257957E-3</v>
      </c>
      <c r="G33" s="3"/>
      <c r="H33" s="8">
        <v>397.928615384615</v>
      </c>
      <c r="I33" s="3"/>
      <c r="J33" s="7">
        <f t="shared" si="5"/>
        <v>9.3039189942626839E-3</v>
      </c>
      <c r="K33" s="3"/>
      <c r="L33" s="8">
        <f t="shared" si="6"/>
        <v>150.25138461538495</v>
      </c>
      <c r="M33" s="3"/>
      <c r="N33" s="7">
        <f t="shared" si="7"/>
        <v>0.37758376454068421</v>
      </c>
      <c r="O33" s="12"/>
      <c r="P33" s="8">
        <v>2987.59</v>
      </c>
      <c r="Q33" s="3"/>
      <c r="R33" s="7">
        <f t="shared" si="8"/>
        <v>5.9996116184325814E-3</v>
      </c>
      <c r="S33" s="3"/>
      <c r="T33" s="8">
        <v>4775.1433846153795</v>
      </c>
      <c r="U33" s="3"/>
      <c r="V33" s="7">
        <f t="shared" si="9"/>
        <v>9.4579019826640954E-3</v>
      </c>
      <c r="W33" s="3"/>
      <c r="X33" s="8">
        <f t="shared" si="10"/>
        <v>-1787.5533846153794</v>
      </c>
      <c r="Y33" s="3"/>
      <c r="Z33" s="7">
        <f t="shared" si="11"/>
        <v>-0.37434548884428115</v>
      </c>
    </row>
    <row r="34" spans="1:26" s="70" customFormat="1" ht="15" hidden="1" customHeight="1" outlineLevel="2" x14ac:dyDescent="0.25">
      <c r="A34" s="25"/>
      <c r="B34" s="12" t="str">
        <f>CONCATENATE("          ","6116"," - ","EDUCATIONAL BENEFITS")</f>
        <v xml:space="preserve">          6116 - EDUCATIONAL BENEFITS</v>
      </c>
      <c r="C34" s="12"/>
      <c r="D34" s="8"/>
      <c r="E34" s="3"/>
      <c r="F34" s="7">
        <f t="shared" si="4"/>
        <v>0</v>
      </c>
      <c r="G34" s="3"/>
      <c r="H34" s="8">
        <v>0</v>
      </c>
      <c r="I34" s="3"/>
      <c r="J34" s="7">
        <f t="shared" si="5"/>
        <v>0</v>
      </c>
      <c r="K34" s="3"/>
      <c r="L34" s="8">
        <f t="shared" si="6"/>
        <v>0</v>
      </c>
      <c r="M34" s="3"/>
      <c r="N34" s="7">
        <f t="shared" si="7"/>
        <v>0</v>
      </c>
      <c r="O34" s="12"/>
      <c r="P34" s="8"/>
      <c r="Q34" s="3"/>
      <c r="R34" s="7">
        <f t="shared" si="8"/>
        <v>0</v>
      </c>
      <c r="S34" s="3"/>
      <c r="T34" s="8">
        <v>0</v>
      </c>
      <c r="U34" s="3"/>
      <c r="V34" s="7">
        <f t="shared" si="9"/>
        <v>0</v>
      </c>
      <c r="W34" s="3"/>
      <c r="X34" s="8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25">
      <c r="A35" s="25"/>
      <c r="B35" s="12" t="str">
        <f>CONCATENATE("          ","6117"," - ","RETIREMENT STAFF HOURLY")</f>
        <v xml:space="preserve">          6117 - RETIREMENT STAFF HOURLY</v>
      </c>
      <c r="C35" s="12"/>
      <c r="D35" s="8">
        <v>211.83</v>
      </c>
      <c r="E35" s="3"/>
      <c r="F35" s="7">
        <f t="shared" si="4"/>
        <v>2.4511897000738035E-3</v>
      </c>
      <c r="G35" s="3"/>
      <c r="H35" s="8"/>
      <c r="I35" s="3"/>
      <c r="J35" s="7">
        <f t="shared" si="5"/>
        <v>0</v>
      </c>
      <c r="K35" s="3"/>
      <c r="L35" s="8">
        <f t="shared" si="6"/>
        <v>211.83</v>
      </c>
      <c r="M35" s="3"/>
      <c r="N35" s="7">
        <f t="shared" si="7"/>
        <v>0</v>
      </c>
      <c r="O35" s="12"/>
      <c r="P35" s="8">
        <v>1180.49</v>
      </c>
      <c r="Q35" s="3"/>
      <c r="R35" s="7">
        <f t="shared" si="8"/>
        <v>2.3706336945308686E-3</v>
      </c>
      <c r="S35" s="3"/>
      <c r="T35" s="8"/>
      <c r="U35" s="3"/>
      <c r="V35" s="7">
        <f t="shared" si="9"/>
        <v>0</v>
      </c>
      <c r="W35" s="3"/>
      <c r="X35" s="8">
        <f t="shared" si="10"/>
        <v>1180.49</v>
      </c>
      <c r="Y35" s="3"/>
      <c r="Z35" s="7">
        <f t="shared" si="11"/>
        <v>0</v>
      </c>
    </row>
    <row r="36" spans="1:26" s="70" customFormat="1" ht="15" hidden="1" customHeight="1" outlineLevel="2" x14ac:dyDescent="0.25">
      <c r="A36" s="25"/>
      <c r="B36" s="12" t="str">
        <f>CONCATENATE("          ","6118"," - ","VACATION")</f>
        <v xml:space="preserve">          6118 - VACATION</v>
      </c>
      <c r="C36" s="12"/>
      <c r="D36" s="8">
        <v>570.1</v>
      </c>
      <c r="E36" s="3"/>
      <c r="F36" s="7">
        <f t="shared" si="4"/>
        <v>6.5969090686497436E-3</v>
      </c>
      <c r="G36" s="3"/>
      <c r="H36" s="8">
        <v>231.35384615384601</v>
      </c>
      <c r="I36" s="3"/>
      <c r="J36" s="7">
        <f t="shared" si="5"/>
        <v>5.4092552292224925E-3</v>
      </c>
      <c r="K36" s="3"/>
      <c r="L36" s="8">
        <f t="shared" si="6"/>
        <v>338.74615384615402</v>
      </c>
      <c r="M36" s="3"/>
      <c r="N36" s="7">
        <f t="shared" si="7"/>
        <v>1.4641907168506467</v>
      </c>
      <c r="O36" s="12"/>
      <c r="P36" s="8">
        <v>3207.52</v>
      </c>
      <c r="Q36" s="3"/>
      <c r="R36" s="7">
        <f t="shared" si="8"/>
        <v>6.4412701402651873E-3</v>
      </c>
      <c r="S36" s="3"/>
      <c r="T36" s="8">
        <v>2776.2461538461498</v>
      </c>
      <c r="U36" s="3"/>
      <c r="V36" s="7">
        <f t="shared" si="9"/>
        <v>5.4987802224791237E-3</v>
      </c>
      <c r="W36" s="3"/>
      <c r="X36" s="8">
        <f t="shared" si="10"/>
        <v>431.27384615385017</v>
      </c>
      <c r="Y36" s="3"/>
      <c r="Z36" s="7">
        <f t="shared" si="11"/>
        <v>0.15534423903888095</v>
      </c>
    </row>
    <row r="37" spans="1:26" s="70" customFormat="1" ht="15" hidden="1" customHeight="1" outlineLevel="2" x14ac:dyDescent="0.25">
      <c r="A37" s="25"/>
      <c r="B37" s="12" t="str">
        <f>CONCATENATE("          ","6119"," - ","SICK LEAVE")</f>
        <v xml:space="preserve">          6119 - SICK LEAVE</v>
      </c>
      <c r="C37" s="12"/>
      <c r="D37" s="8">
        <v>427.98</v>
      </c>
      <c r="E37" s="3"/>
      <c r="F37" s="7">
        <f t="shared" si="4"/>
        <v>4.9523682567983113E-3</v>
      </c>
      <c r="G37" s="3"/>
      <c r="H37" s="8">
        <v>468.02714615384599</v>
      </c>
      <c r="I37" s="3"/>
      <c r="J37" s="7">
        <f t="shared" si="5"/>
        <v>1.094288394093631E-2</v>
      </c>
      <c r="K37" s="3"/>
      <c r="L37" s="8">
        <f t="shared" si="6"/>
        <v>-40.047146153845972</v>
      </c>
      <c r="M37" s="3"/>
      <c r="N37" s="7">
        <f t="shared" si="7"/>
        <v>-8.5565861901271009E-2</v>
      </c>
      <c r="O37" s="12"/>
      <c r="P37" s="8">
        <v>2647.26</v>
      </c>
      <c r="Q37" s="3"/>
      <c r="R37" s="7">
        <f t="shared" si="8"/>
        <v>5.3161685013712844E-3</v>
      </c>
      <c r="S37" s="3"/>
      <c r="T37" s="8">
        <v>6364.9483038461503</v>
      </c>
      <c r="U37" s="3"/>
      <c r="V37" s="7">
        <f t="shared" si="9"/>
        <v>1.2606753836220102E-2</v>
      </c>
      <c r="W37" s="3"/>
      <c r="X37" s="8">
        <f t="shared" si="10"/>
        <v>-3717.6883038461501</v>
      </c>
      <c r="Y37" s="3"/>
      <c r="Z37" s="7">
        <f t="shared" si="11"/>
        <v>-0.5840877453159613</v>
      </c>
    </row>
    <row r="38" spans="1:26" s="70" customFormat="1" ht="15" hidden="1" customHeight="1" outlineLevel="2" x14ac:dyDescent="0.25">
      <c r="A38" s="25"/>
      <c r="B38" s="12" t="str">
        <f>CONCATENATE("          ","6156"," - ","EMPLOYEE MEALS")</f>
        <v xml:space="preserve">          6156 - EMPLOYEE MEALS</v>
      </c>
      <c r="C38" s="12"/>
      <c r="D38" s="8">
        <v>462.06</v>
      </c>
      <c r="E38" s="3"/>
      <c r="F38" s="7">
        <f t="shared" si="4"/>
        <v>5.3467247925983166E-3</v>
      </c>
      <c r="G38" s="3"/>
      <c r="H38" s="8"/>
      <c r="I38" s="3"/>
      <c r="J38" s="7">
        <f t="shared" si="5"/>
        <v>0</v>
      </c>
      <c r="K38" s="3"/>
      <c r="L38" s="8">
        <f t="shared" si="6"/>
        <v>462.06</v>
      </c>
      <c r="M38" s="3"/>
      <c r="N38" s="7">
        <f t="shared" si="7"/>
        <v>0</v>
      </c>
      <c r="O38" s="12"/>
      <c r="P38" s="8">
        <v>2613.39</v>
      </c>
      <c r="Q38" s="3"/>
      <c r="R38" s="7">
        <f t="shared" si="8"/>
        <v>5.2481515226304549E-3</v>
      </c>
      <c r="S38" s="3"/>
      <c r="T38" s="8"/>
      <c r="U38" s="3"/>
      <c r="V38" s="7">
        <f t="shared" si="9"/>
        <v>0</v>
      </c>
      <c r="W38" s="3"/>
      <c r="X38" s="8">
        <f t="shared" si="10"/>
        <v>2613.39</v>
      </c>
      <c r="Y38" s="3"/>
      <c r="Z38" s="7">
        <f t="shared" si="11"/>
        <v>0</v>
      </c>
    </row>
    <row r="39" spans="1:26" s="69" customFormat="1" ht="15" customHeight="1" outlineLevel="1" collapsed="1" x14ac:dyDescent="0.25">
      <c r="A39" s="26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20846.270000000004</v>
      </c>
      <c r="E39" s="2"/>
      <c r="F39" s="6">
        <f t="shared" si="4"/>
        <v>0.24122250063238224</v>
      </c>
      <c r="G39" s="2"/>
      <c r="H39" s="2">
        <f>SUM(OSRRefH22_1x_0)</f>
        <v>11816.805930769231</v>
      </c>
      <c r="I39" s="2"/>
      <c r="J39" s="6">
        <f t="shared" si="5"/>
        <v>0.27628725580475172</v>
      </c>
      <c r="K39" s="2"/>
      <c r="L39" s="2">
        <f t="shared" si="6"/>
        <v>9029.464069230773</v>
      </c>
      <c r="M39" s="2"/>
      <c r="N39" s="6">
        <f t="shared" si="7"/>
        <v>0.76412053495093557</v>
      </c>
      <c r="O39" s="14"/>
      <c r="P39" s="2">
        <f>SUM(OSRRefP22_1x_0)</f>
        <v>154803.63999999998</v>
      </c>
      <c r="Q39" s="2"/>
      <c r="R39" s="6">
        <f t="shared" si="8"/>
        <v>0.31087321791800565</v>
      </c>
      <c r="S39" s="2"/>
      <c r="T39" s="2">
        <f>SUM(OSRRefT22_1x_0)</f>
        <v>166007.13361923079</v>
      </c>
      <c r="U39" s="2"/>
      <c r="V39" s="6">
        <f t="shared" si="9"/>
        <v>0.32880252418224937</v>
      </c>
      <c r="W39" s="2"/>
      <c r="X39" s="2">
        <f t="shared" si="10"/>
        <v>-11203.493619230809</v>
      </c>
      <c r="Y39" s="2"/>
      <c r="Z39" s="6">
        <f t="shared" si="11"/>
        <v>-6.7488025212989772E-2</v>
      </c>
    </row>
    <row r="40" spans="1:26" s="70" customFormat="1" ht="15" hidden="1" customHeight="1" outlineLevel="2" x14ac:dyDescent="0.25">
      <c r="A40" s="25"/>
      <c r="B40" s="12" t="str">
        <f>CONCATENATE("          ","6001"," - ","ADMINISTRATIVE SALARIES")</f>
        <v xml:space="preserve">          6001 - ADMINISTRATIVE SALARIES</v>
      </c>
      <c r="C40" s="12"/>
      <c r="D40" s="8"/>
      <c r="E40" s="3"/>
      <c r="F40" s="7">
        <f t="shared" si="4"/>
        <v>0</v>
      </c>
      <c r="G40" s="3"/>
      <c r="H40" s="8">
        <v>0</v>
      </c>
      <c r="I40" s="3"/>
      <c r="J40" s="7">
        <f t="shared" si="5"/>
        <v>0</v>
      </c>
      <c r="K40" s="3"/>
      <c r="L40" s="8">
        <f t="shared" si="6"/>
        <v>0</v>
      </c>
      <c r="M40" s="3"/>
      <c r="N40" s="7">
        <f t="shared" si="7"/>
        <v>0</v>
      </c>
      <c r="O40" s="12"/>
      <c r="P40" s="8"/>
      <c r="Q40" s="3"/>
      <c r="R40" s="7">
        <f t="shared" si="8"/>
        <v>0</v>
      </c>
      <c r="S40" s="3"/>
      <c r="T40" s="8">
        <v>0</v>
      </c>
      <c r="U40" s="3"/>
      <c r="V40" s="7">
        <f t="shared" si="9"/>
        <v>0</v>
      </c>
      <c r="W40" s="3"/>
      <c r="X40" s="8">
        <f t="shared" si="10"/>
        <v>0</v>
      </c>
      <c r="Y40" s="3"/>
      <c r="Z40" s="7">
        <f t="shared" si="11"/>
        <v>0</v>
      </c>
    </row>
    <row r="41" spans="1:26" s="70" customFormat="1" ht="15" hidden="1" customHeight="1" outlineLevel="2" x14ac:dyDescent="0.25">
      <c r="A41" s="25"/>
      <c r="B41" s="12" t="str">
        <f>CONCATENATE("          ","6002"," - ","STAFF SALARIES")</f>
        <v xml:space="preserve">          6002 - STAFF SALARIES</v>
      </c>
      <c r="C41" s="12"/>
      <c r="D41" s="8">
        <v>4786.54</v>
      </c>
      <c r="E41" s="3"/>
      <c r="F41" s="7">
        <f t="shared" si="4"/>
        <v>5.5387421739089185E-2</v>
      </c>
      <c r="G41" s="3"/>
      <c r="H41" s="8">
        <v>4164.3692307692299</v>
      </c>
      <c r="I41" s="3"/>
      <c r="J41" s="7">
        <f t="shared" si="5"/>
        <v>9.7366594126004916E-2</v>
      </c>
      <c r="K41" s="3"/>
      <c r="L41" s="8">
        <f t="shared" si="6"/>
        <v>622.17076923077002</v>
      </c>
      <c r="M41" s="3"/>
      <c r="N41" s="7">
        <f t="shared" si="7"/>
        <v>0.14940336333141249</v>
      </c>
      <c r="O41" s="12"/>
      <c r="P41" s="8">
        <v>25948.080000000002</v>
      </c>
      <c r="Q41" s="3"/>
      <c r="R41" s="7">
        <f t="shared" si="8"/>
        <v>5.2108355645861075E-2</v>
      </c>
      <c r="S41" s="3"/>
      <c r="T41" s="8">
        <v>49972.430769230799</v>
      </c>
      <c r="U41" s="3"/>
      <c r="V41" s="7">
        <f t="shared" si="9"/>
        <v>9.8978044004624427E-2</v>
      </c>
      <c r="W41" s="3"/>
      <c r="X41" s="8">
        <f t="shared" si="10"/>
        <v>-24024.350769230798</v>
      </c>
      <c r="Y41" s="3"/>
      <c r="Z41" s="7">
        <f t="shared" si="11"/>
        <v>-0.48075209469344354</v>
      </c>
    </row>
    <row r="42" spans="1:26" s="70" customFormat="1" ht="15" hidden="1" customHeight="1" outlineLevel="2" x14ac:dyDescent="0.25">
      <c r="A42" s="25"/>
      <c r="B42" s="12" t="str">
        <f>CONCATENATE("          ","6003"," - ","STAFF HOURLY-9 MONTH")</f>
        <v xml:space="preserve">          6003 - STAFF HOURLY-9 MONTH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25">
      <c r="A43" s="25"/>
      <c r="B43" s="12" t="str">
        <f>CONCATENATE("          ","6004"," - ","STAFF HOURLY")</f>
        <v xml:space="preserve">          6004 - STAFF HOURLY</v>
      </c>
      <c r="C43" s="12"/>
      <c r="D43" s="8">
        <v>3994.09</v>
      </c>
      <c r="E43" s="3"/>
      <c r="F43" s="7">
        <f t="shared" si="4"/>
        <v>4.6217590847225494E-2</v>
      </c>
      <c r="G43" s="3"/>
      <c r="H43" s="8">
        <v>2101.7474999999999</v>
      </c>
      <c r="I43" s="3"/>
      <c r="J43" s="7">
        <f t="shared" si="5"/>
        <v>4.9140694411971005E-2</v>
      </c>
      <c r="K43" s="3"/>
      <c r="L43" s="8">
        <f t="shared" si="6"/>
        <v>1892.3425000000002</v>
      </c>
      <c r="M43" s="3"/>
      <c r="N43" s="7">
        <f t="shared" si="7"/>
        <v>0.90036624285267386</v>
      </c>
      <c r="O43" s="12"/>
      <c r="P43" s="8">
        <v>28627.08</v>
      </c>
      <c r="Q43" s="3"/>
      <c r="R43" s="7">
        <f t="shared" si="8"/>
        <v>5.748826370746956E-2</v>
      </c>
      <c r="S43" s="3"/>
      <c r="T43" s="8">
        <v>33260.936249999999</v>
      </c>
      <c r="U43" s="3"/>
      <c r="V43" s="7">
        <f t="shared" si="9"/>
        <v>6.5878372556864545E-2</v>
      </c>
      <c r="W43" s="3"/>
      <c r="X43" s="8">
        <f t="shared" si="10"/>
        <v>-4633.8562499999971</v>
      </c>
      <c r="Y43" s="3"/>
      <c r="Z43" s="7">
        <f t="shared" si="11"/>
        <v>-0.13931827460208662</v>
      </c>
    </row>
    <row r="44" spans="1:26" s="70" customFormat="1" ht="15" hidden="1" customHeight="1" outlineLevel="2" x14ac:dyDescent="0.25">
      <c r="A44" s="25"/>
      <c r="B44" s="12" t="str">
        <f>CONCATENATE("          ","6005"," - ","TEMPORARY WAGES-HOURLY")</f>
        <v xml:space="preserve">          6005 - TEMPORARY WAGES-HOURLY</v>
      </c>
      <c r="C44" s="12"/>
      <c r="D44" s="8">
        <v>2889.68</v>
      </c>
      <c r="E44" s="3"/>
      <c r="F44" s="7">
        <f t="shared" si="4"/>
        <v>3.3437916501483582E-2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2889.68</v>
      </c>
      <c r="M44" s="3"/>
      <c r="N44" s="7">
        <f t="shared" si="7"/>
        <v>0</v>
      </c>
      <c r="O44" s="12"/>
      <c r="P44" s="8">
        <v>29110.15</v>
      </c>
      <c r="Q44" s="3"/>
      <c r="R44" s="7">
        <f t="shared" si="8"/>
        <v>5.8458354109605135E-2</v>
      </c>
      <c r="S44" s="3"/>
      <c r="T44" s="8">
        <v>0</v>
      </c>
      <c r="U44" s="3"/>
      <c r="V44" s="7">
        <f t="shared" si="9"/>
        <v>0</v>
      </c>
      <c r="W44" s="3"/>
      <c r="X44" s="8">
        <f t="shared" si="10"/>
        <v>29110.15</v>
      </c>
      <c r="Y44" s="3"/>
      <c r="Z44" s="7">
        <f t="shared" si="11"/>
        <v>0</v>
      </c>
    </row>
    <row r="45" spans="1:26" s="70" customFormat="1" ht="15" hidden="1" customHeight="1" outlineLevel="2" x14ac:dyDescent="0.25">
      <c r="A45" s="25"/>
      <c r="B45" s="12" t="str">
        <f>CONCATENATE("          ","6006"," - ","TEMPORARY PART TIME")</f>
        <v xml:space="preserve">          6006 - TEMPORARY PART TIME</v>
      </c>
      <c r="C45" s="12"/>
      <c r="D45" s="8">
        <v>1589.04</v>
      </c>
      <c r="E45" s="3"/>
      <c r="F45" s="7">
        <f t="shared" si="4"/>
        <v>1.838756777135097E-2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1589.04</v>
      </c>
      <c r="M45" s="3"/>
      <c r="N45" s="7">
        <f t="shared" si="7"/>
        <v>0</v>
      </c>
      <c r="O45" s="12"/>
      <c r="P45" s="8">
        <v>6791.04</v>
      </c>
      <c r="Q45" s="3"/>
      <c r="R45" s="7">
        <f t="shared" si="8"/>
        <v>1.3637615096194723E-2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6791.04</v>
      </c>
      <c r="Y45" s="3"/>
      <c r="Z45" s="7">
        <f t="shared" si="11"/>
        <v>0</v>
      </c>
    </row>
    <row r="46" spans="1:26" s="70" customFormat="1" ht="15" hidden="1" customHeight="1" outlineLevel="2" x14ac:dyDescent="0.25">
      <c r="A46" s="25"/>
      <c r="B46" s="12" t="str">
        <f>CONCATENATE("          ","6007"," - ","STUDENT HOURLY")</f>
        <v xml:space="preserve">          6007 - STUDENT HOURLY</v>
      </c>
      <c r="C46" s="12"/>
      <c r="D46" s="8">
        <v>6153.22</v>
      </c>
      <c r="E46" s="3"/>
      <c r="F46" s="7">
        <f t="shared" si="4"/>
        <v>7.1201951972280256E-2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6153.22</v>
      </c>
      <c r="M46" s="3"/>
      <c r="N46" s="7">
        <f t="shared" si="7"/>
        <v>0</v>
      </c>
      <c r="O46" s="12"/>
      <c r="P46" s="8">
        <v>55278.73</v>
      </c>
      <c r="Q46" s="3"/>
      <c r="R46" s="7">
        <f t="shared" si="8"/>
        <v>0.11100951293858852</v>
      </c>
      <c r="S46" s="3"/>
      <c r="T46" s="8">
        <v>0</v>
      </c>
      <c r="U46" s="3"/>
      <c r="V46" s="7">
        <f t="shared" si="9"/>
        <v>0</v>
      </c>
      <c r="W46" s="3"/>
      <c r="X46" s="8">
        <f t="shared" si="10"/>
        <v>55278.73</v>
      </c>
      <c r="Y46" s="3"/>
      <c r="Z46" s="7">
        <f t="shared" si="11"/>
        <v>0</v>
      </c>
    </row>
    <row r="47" spans="1:26" s="70" customFormat="1" ht="15" hidden="1" customHeight="1" outlineLevel="2" x14ac:dyDescent="0.25">
      <c r="A47" s="25"/>
      <c r="B47" s="12" t="str">
        <f>CONCATENATE("          ","6008"," - ","STUDENT HOURLY-FICA EXEMPT")</f>
        <v xml:space="preserve">          6008 - STUDENT HOURLY-FICA EXEMPT</v>
      </c>
      <c r="C47" s="12"/>
      <c r="D47" s="8">
        <v>1433.7</v>
      </c>
      <c r="E47" s="3"/>
      <c r="F47" s="7">
        <f t="shared" si="4"/>
        <v>1.6590051800952705E-2</v>
      </c>
      <c r="G47" s="3"/>
      <c r="H47" s="8">
        <v>5550.6891999999998</v>
      </c>
      <c r="I47" s="3"/>
      <c r="J47" s="7">
        <f t="shared" si="5"/>
        <v>0.12977996726677576</v>
      </c>
      <c r="K47" s="3"/>
      <c r="L47" s="8">
        <f t="shared" si="6"/>
        <v>-4116.9892</v>
      </c>
      <c r="M47" s="3"/>
      <c r="N47" s="7">
        <f t="shared" si="7"/>
        <v>-0.74170775045376347</v>
      </c>
      <c r="O47" s="12"/>
      <c r="P47" s="8">
        <v>9048.56</v>
      </c>
      <c r="Q47" s="3"/>
      <c r="R47" s="7">
        <f t="shared" si="8"/>
        <v>1.8171116420286688E-2</v>
      </c>
      <c r="S47" s="3"/>
      <c r="T47" s="8">
        <v>82773.766600000003</v>
      </c>
      <c r="U47" s="3"/>
      <c r="V47" s="7">
        <f t="shared" si="9"/>
        <v>0.16394610762076042</v>
      </c>
      <c r="W47" s="3"/>
      <c r="X47" s="8">
        <f t="shared" si="10"/>
        <v>-73725.206600000005</v>
      </c>
      <c r="Y47" s="3"/>
      <c r="Z47" s="7">
        <f t="shared" si="11"/>
        <v>-0.8906832397306903</v>
      </c>
    </row>
    <row r="48" spans="1:26" s="70" customFormat="1" ht="15" hidden="1" customHeight="1" outlineLevel="2" x14ac:dyDescent="0.25">
      <c r="A48" s="25"/>
      <c r="B48" s="12" t="str">
        <f>CONCATENATE("          ","6009"," - ","TEMPORARY-SEASONAL")</f>
        <v xml:space="preserve">          6009 - TEMPORARY-SEASONAL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25">
      <c r="A49" s="25"/>
      <c r="B49" s="12" t="str">
        <f>CONCATENATE("          ","6010"," - ","GRATUITY")</f>
        <v xml:space="preserve">          6010 - GRATUITY</v>
      </c>
      <c r="C49" s="12"/>
      <c r="D49" s="8"/>
      <c r="E49" s="3"/>
      <c r="F49" s="7">
        <f t="shared" si="4"/>
        <v>0</v>
      </c>
      <c r="G49" s="3"/>
      <c r="H49" s="8">
        <v>0</v>
      </c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/>
      <c r="Q49" s="3"/>
      <c r="R49" s="7">
        <f t="shared" si="8"/>
        <v>0</v>
      </c>
      <c r="S49" s="3"/>
      <c r="T49" s="8">
        <v>0</v>
      </c>
      <c r="U49" s="3"/>
      <c r="V49" s="7">
        <f t="shared" si="9"/>
        <v>0</v>
      </c>
      <c r="W49" s="3"/>
      <c r="X49" s="8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25">
      <c r="A50" s="26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0</v>
      </c>
      <c r="E50" s="2"/>
      <c r="F50" s="6">
        <f t="shared" si="4"/>
        <v>0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0</v>
      </c>
      <c r="M50" s="2"/>
      <c r="N50" s="6">
        <f t="shared" si="7"/>
        <v>0</v>
      </c>
      <c r="O50" s="14"/>
      <c r="P50" s="2">
        <f>SUM(OSRRefP22_2x_0)</f>
        <v>625.16999999999996</v>
      </c>
      <c r="Q50" s="2"/>
      <c r="R50" s="6">
        <f t="shared" si="8"/>
        <v>1.2554524534810654E-3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625.16999999999996</v>
      </c>
      <c r="Y50" s="2"/>
      <c r="Z50" s="6">
        <f t="shared" si="11"/>
        <v>0</v>
      </c>
    </row>
    <row r="51" spans="1:26" s="70" customFormat="1" ht="15" hidden="1" customHeight="1" outlineLevel="2" x14ac:dyDescent="0.25">
      <c r="A51" s="25"/>
      <c r="B51" s="12" t="str">
        <f>CONCATENATE("          ","6362"," - ","ADVERTISING EXPENSE")</f>
        <v xml:space="preserve">          6362 - ADVERTISING EXPENSE</v>
      </c>
      <c r="C51" s="12"/>
      <c r="D51" s="8"/>
      <c r="E51" s="3"/>
      <c r="F51" s="7">
        <f t="shared" si="4"/>
        <v>0</v>
      </c>
      <c r="G51" s="3"/>
      <c r="H51" s="8"/>
      <c r="I51" s="3"/>
      <c r="J51" s="7">
        <f t="shared" si="5"/>
        <v>0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>
        <v>625.16999999999996</v>
      </c>
      <c r="Q51" s="3"/>
      <c r="R51" s="7">
        <f t="shared" si="8"/>
        <v>1.2554524534810654E-3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625.16999999999996</v>
      </c>
      <c r="Y51" s="3"/>
      <c r="Z51" s="7">
        <f t="shared" si="11"/>
        <v>0</v>
      </c>
    </row>
    <row r="52" spans="1:26" s="69" customFormat="1" ht="15" customHeight="1" outlineLevel="1" collapsed="1" x14ac:dyDescent="0.25">
      <c r="A52" s="26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-34.130000000000003</v>
      </c>
      <c r="E52" s="2"/>
      <c r="F52" s="6">
        <f t="shared" si="4"/>
        <v>-3.9493511052975929E-4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-34.130000000000003</v>
      </c>
      <c r="M52" s="2"/>
      <c r="N52" s="6">
        <f t="shared" si="7"/>
        <v>0</v>
      </c>
      <c r="O52" s="14"/>
      <c r="P52" s="2">
        <f>SUM(OSRRefP22_3x_0)</f>
        <v>-25.36</v>
      </c>
      <c r="Q52" s="2"/>
      <c r="R52" s="6">
        <f t="shared" si="8"/>
        <v>-5.0927386503318813E-5</v>
      </c>
      <c r="S52" s="2"/>
      <c r="T52" s="2">
        <f>SUM(OSRRefT22_3x_0)</f>
        <v>0</v>
      </c>
      <c r="U52" s="2"/>
      <c r="V52" s="6">
        <f t="shared" si="9"/>
        <v>0</v>
      </c>
      <c r="W52" s="2"/>
      <c r="X52" s="2">
        <f t="shared" si="10"/>
        <v>-25.36</v>
      </c>
      <c r="Y52" s="2"/>
      <c r="Z52" s="6">
        <f t="shared" si="11"/>
        <v>0</v>
      </c>
    </row>
    <row r="53" spans="1:26" s="70" customFormat="1" ht="15" hidden="1" customHeight="1" outlineLevel="2" x14ac:dyDescent="0.25">
      <c r="A53" s="25"/>
      <c r="B53" s="12" t="str">
        <f>CONCATENATE("          ","6272"," - ","CASH (OVER/SHORT)")</f>
        <v xml:space="preserve">          6272 - CASH (OVER/SHORT)</v>
      </c>
      <c r="C53" s="12"/>
      <c r="D53" s="8">
        <v>-34.130000000000003</v>
      </c>
      <c r="E53" s="3"/>
      <c r="F53" s="7">
        <f t="shared" si="4"/>
        <v>-3.9493511052975929E-4</v>
      </c>
      <c r="G53" s="3"/>
      <c r="H53" s="8">
        <v>0</v>
      </c>
      <c r="I53" s="3"/>
      <c r="J53" s="7">
        <f t="shared" si="5"/>
        <v>0</v>
      </c>
      <c r="K53" s="3"/>
      <c r="L53" s="8">
        <f t="shared" si="6"/>
        <v>-34.130000000000003</v>
      </c>
      <c r="M53" s="3"/>
      <c r="N53" s="7">
        <f t="shared" si="7"/>
        <v>0</v>
      </c>
      <c r="O53" s="12"/>
      <c r="P53" s="8">
        <v>-25.36</v>
      </c>
      <c r="Q53" s="3"/>
      <c r="R53" s="7">
        <f t="shared" si="8"/>
        <v>-5.0927386503318813E-5</v>
      </c>
      <c r="S53" s="3"/>
      <c r="T53" s="8">
        <v>0</v>
      </c>
      <c r="U53" s="3"/>
      <c r="V53" s="7">
        <f t="shared" si="9"/>
        <v>0</v>
      </c>
      <c r="W53" s="3"/>
      <c r="X53" s="8">
        <f t="shared" si="10"/>
        <v>-25.36</v>
      </c>
      <c r="Y53" s="3"/>
      <c r="Z53" s="7">
        <f t="shared" si="11"/>
        <v>0</v>
      </c>
    </row>
    <row r="54" spans="1:26" s="69" customFormat="1" ht="15" customHeight="1" outlineLevel="1" collapsed="1" x14ac:dyDescent="0.25">
      <c r="A54" s="26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2202.2199999999998</v>
      </c>
      <c r="E54" s="2"/>
      <c r="F54" s="6">
        <f t="shared" si="4"/>
        <v>2.5482976827156355E-2</v>
      </c>
      <c r="G54" s="2"/>
      <c r="H54" s="2">
        <f>SUM(OSRRefH22_4x_0)</f>
        <v>2778</v>
      </c>
      <c r="I54" s="2"/>
      <c r="J54" s="6">
        <f t="shared" si="5"/>
        <v>6.4952069207388358E-2</v>
      </c>
      <c r="K54" s="2"/>
      <c r="L54" s="2">
        <f t="shared" si="6"/>
        <v>-575.7800000000002</v>
      </c>
      <c r="M54" s="2"/>
      <c r="N54" s="6">
        <f t="shared" si="7"/>
        <v>-0.20726421886249108</v>
      </c>
      <c r="O54" s="14"/>
      <c r="P54" s="2">
        <f>SUM(OSRRefP22_4x_0)</f>
        <v>21872.61</v>
      </c>
      <c r="Q54" s="2"/>
      <c r="R54" s="6">
        <f t="shared" si="8"/>
        <v>4.3924087669808994E-2</v>
      </c>
      <c r="S54" s="2"/>
      <c r="T54" s="2">
        <f>SUM(OSRRefT22_4x_0)</f>
        <v>23777.75</v>
      </c>
      <c r="U54" s="2"/>
      <c r="V54" s="6">
        <f t="shared" si="9"/>
        <v>4.7095471435022698E-2</v>
      </c>
      <c r="W54" s="2"/>
      <c r="X54" s="2">
        <f t="shared" si="10"/>
        <v>-1905.1399999999994</v>
      </c>
      <c r="Y54" s="2"/>
      <c r="Z54" s="6">
        <f t="shared" si="11"/>
        <v>-8.0122803881780211E-2</v>
      </c>
    </row>
    <row r="55" spans="1:26" s="70" customFormat="1" ht="15" hidden="1" customHeight="1" outlineLevel="2" x14ac:dyDescent="0.25">
      <c r="A55" s="25"/>
      <c r="B55" s="12" t="str">
        <f>CONCATENATE("          ","6381"," - ","BANK/CREDIT CARD FEES")</f>
        <v xml:space="preserve">          6381 - BANK/CREDIT CARD FEES</v>
      </c>
      <c r="C55" s="12"/>
      <c r="D55" s="8">
        <v>2202.2199999999998</v>
      </c>
      <c r="E55" s="3"/>
      <c r="F55" s="7">
        <f t="shared" si="4"/>
        <v>2.5482976827156355E-2</v>
      </c>
      <c r="G55" s="3"/>
      <c r="H55" s="8">
        <v>2778</v>
      </c>
      <c r="I55" s="3"/>
      <c r="J55" s="7">
        <f t="shared" si="5"/>
        <v>6.4952069207388358E-2</v>
      </c>
      <c r="K55" s="3"/>
      <c r="L55" s="8">
        <f t="shared" si="6"/>
        <v>-575.7800000000002</v>
      </c>
      <c r="M55" s="3"/>
      <c r="N55" s="7">
        <f t="shared" si="7"/>
        <v>-0.20726421886249108</v>
      </c>
      <c r="O55" s="12"/>
      <c r="P55" s="8">
        <v>21872.61</v>
      </c>
      <c r="Q55" s="3"/>
      <c r="R55" s="7">
        <f t="shared" si="8"/>
        <v>4.3924087669808994E-2</v>
      </c>
      <c r="S55" s="3"/>
      <c r="T55" s="8">
        <v>23777.75</v>
      </c>
      <c r="U55" s="3"/>
      <c r="V55" s="7">
        <f t="shared" si="9"/>
        <v>4.7095471435022698E-2</v>
      </c>
      <c r="W55" s="3"/>
      <c r="X55" s="8">
        <f t="shared" si="10"/>
        <v>-1905.1399999999994</v>
      </c>
      <c r="Y55" s="3"/>
      <c r="Z55" s="7">
        <f t="shared" si="11"/>
        <v>-8.0122803881780211E-2</v>
      </c>
    </row>
    <row r="56" spans="1:26" s="69" customFormat="1" ht="15" customHeight="1" outlineLevel="1" collapsed="1" x14ac:dyDescent="0.25">
      <c r="A56" s="26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6324.71</v>
      </c>
      <c r="E56" s="2"/>
      <c r="F56" s="6">
        <f t="shared" si="4"/>
        <v>7.3186347580388916E-2</v>
      </c>
      <c r="G56" s="2"/>
      <c r="H56" s="2">
        <f>SUM(OSRRefH22_5x_0)</f>
        <v>6324</v>
      </c>
      <c r="I56" s="2"/>
      <c r="J56" s="6">
        <f t="shared" si="5"/>
        <v>0.14786064998830956</v>
      </c>
      <c r="K56" s="2"/>
      <c r="L56" s="2">
        <f t="shared" si="6"/>
        <v>0.71000000000003638</v>
      </c>
      <c r="M56" s="2"/>
      <c r="N56" s="6">
        <f t="shared" si="7"/>
        <v>1.1227071473751366E-4</v>
      </c>
      <c r="O56" s="14"/>
      <c r="P56" s="2">
        <f>SUM(OSRRefP22_5x_0)</f>
        <v>72004.570000000007</v>
      </c>
      <c r="Q56" s="2"/>
      <c r="R56" s="6">
        <f t="shared" si="8"/>
        <v>0.14459797186101242</v>
      </c>
      <c r="S56" s="2"/>
      <c r="T56" s="2">
        <f>SUM(OSRRefT22_5x_0)</f>
        <v>71994</v>
      </c>
      <c r="U56" s="2"/>
      <c r="V56" s="6">
        <f t="shared" si="9"/>
        <v>0.14259513076270985</v>
      </c>
      <c r="W56" s="2"/>
      <c r="X56" s="2">
        <f t="shared" si="10"/>
        <v>10.570000000006985</v>
      </c>
      <c r="Y56" s="2"/>
      <c r="Z56" s="6">
        <f t="shared" si="11"/>
        <v>1.4681779037151687E-4</v>
      </c>
    </row>
    <row r="57" spans="1:26" s="70" customFormat="1" ht="15" hidden="1" customHeight="1" outlineLevel="2" x14ac:dyDescent="0.25">
      <c r="A57" s="25"/>
      <c r="B57" s="12" t="str">
        <f>CONCATENATE("          ","6321"," - ","BUILDING DEPRECIATION")</f>
        <v xml:space="preserve">          6321 - BUILDING DEPRECIATION</v>
      </c>
      <c r="C57" s="12"/>
      <c r="D57" s="8">
        <v>5080.51</v>
      </c>
      <c r="E57" s="3"/>
      <c r="F57" s="7">
        <f t="shared" si="4"/>
        <v>5.8789094005202089E-2</v>
      </c>
      <c r="G57" s="3"/>
      <c r="H57" s="8"/>
      <c r="I57" s="3"/>
      <c r="J57" s="7">
        <f t="shared" si="5"/>
        <v>0</v>
      </c>
      <c r="K57" s="3"/>
      <c r="L57" s="8">
        <f t="shared" si="6"/>
        <v>5080.51</v>
      </c>
      <c r="M57" s="3"/>
      <c r="N57" s="7">
        <f t="shared" si="7"/>
        <v>0</v>
      </c>
      <c r="O57" s="12"/>
      <c r="P57" s="8">
        <v>55885.61</v>
      </c>
      <c r="Q57" s="3"/>
      <c r="R57" s="7">
        <f t="shared" si="8"/>
        <v>0.11222823582191399</v>
      </c>
      <c r="S57" s="3"/>
      <c r="T57" s="8"/>
      <c r="U57" s="3"/>
      <c r="V57" s="7">
        <f t="shared" si="9"/>
        <v>0</v>
      </c>
      <c r="W57" s="3"/>
      <c r="X57" s="8">
        <f t="shared" si="10"/>
        <v>55885.61</v>
      </c>
      <c r="Y57" s="3"/>
      <c r="Z57" s="7">
        <f t="shared" si="11"/>
        <v>0</v>
      </c>
    </row>
    <row r="58" spans="1:26" s="70" customFormat="1" ht="15" hidden="1" customHeight="1" outlineLevel="2" x14ac:dyDescent="0.25">
      <c r="A58" s="25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1244.2</v>
      </c>
      <c r="E58" s="3"/>
      <c r="F58" s="7">
        <f t="shared" si="4"/>
        <v>1.4397253575186829E-2</v>
      </c>
      <c r="G58" s="3"/>
      <c r="H58" s="8">
        <v>6324</v>
      </c>
      <c r="I58" s="3"/>
      <c r="J58" s="7">
        <f t="shared" si="5"/>
        <v>0.14786064998830956</v>
      </c>
      <c r="K58" s="3"/>
      <c r="L58" s="8">
        <f t="shared" si="6"/>
        <v>-5079.8</v>
      </c>
      <c r="M58" s="3"/>
      <c r="N58" s="7">
        <f t="shared" si="7"/>
        <v>-0.80325743200506017</v>
      </c>
      <c r="O58" s="12"/>
      <c r="P58" s="8">
        <v>16118.96</v>
      </c>
      <c r="Q58" s="3"/>
      <c r="R58" s="7">
        <f t="shared" si="8"/>
        <v>3.2369736039098415E-2</v>
      </c>
      <c r="S58" s="3"/>
      <c r="T58" s="8">
        <v>71994</v>
      </c>
      <c r="U58" s="3"/>
      <c r="V58" s="7">
        <f t="shared" si="9"/>
        <v>0.14259513076270985</v>
      </c>
      <c r="W58" s="3"/>
      <c r="X58" s="8">
        <f t="shared" si="10"/>
        <v>-55875.040000000001</v>
      </c>
      <c r="Y58" s="3"/>
      <c r="Z58" s="7">
        <f t="shared" si="11"/>
        <v>-0.77610689779703868</v>
      </c>
    </row>
    <row r="59" spans="1:26" s="69" customFormat="1" ht="15" customHeight="1" outlineLevel="1" collapsed="1" x14ac:dyDescent="0.25">
      <c r="A59" s="26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16.2</v>
      </c>
      <c r="E59" s="2"/>
      <c r="F59" s="6">
        <f t="shared" ref="F59:F93" si="12">IF(D$12=0,0,D59/D$12)</f>
        <v>1.8745821244014357E-4</v>
      </c>
      <c r="G59" s="2"/>
      <c r="H59" s="2">
        <f>SUM(OSRRefH22_6x_0)</f>
        <v>50</v>
      </c>
      <c r="I59" s="2"/>
      <c r="J59" s="6">
        <f t="shared" ref="J59:J93" si="13">IF(H$12=0,0,H59/H$12)</f>
        <v>1.1690437222352116E-3</v>
      </c>
      <c r="K59" s="2"/>
      <c r="L59" s="2">
        <f t="shared" ref="L59:L93" si="14">+D59-H59</f>
        <v>-33.799999999999997</v>
      </c>
      <c r="M59" s="2"/>
      <c r="N59" s="6">
        <f t="shared" ref="N59:N93" si="15">IF(H59=0,0,L59/H59)</f>
        <v>-0.67599999999999993</v>
      </c>
      <c r="O59" s="14"/>
      <c r="P59" s="2">
        <f>SUM(OSRRefP22_6x_0)</f>
        <v>16.2</v>
      </c>
      <c r="Q59" s="2"/>
      <c r="R59" s="6">
        <f t="shared" ref="R59:R93" si="16">IF(P$12=0,0,P59/P$12)</f>
        <v>3.2532478760006492E-5</v>
      </c>
      <c r="S59" s="2"/>
      <c r="T59" s="2">
        <f>SUM(OSRRefT22_6x_0)</f>
        <v>100</v>
      </c>
      <c r="U59" s="2"/>
      <c r="V59" s="6">
        <f t="shared" ref="V59:V93" si="17">IF(T$12=0,0,T59/T$12)</f>
        <v>1.9806529816749987E-4</v>
      </c>
      <c r="W59" s="2"/>
      <c r="X59" s="2">
        <f t="shared" ref="X59:X93" si="18">+P59-T59</f>
        <v>-83.8</v>
      </c>
      <c r="Y59" s="2"/>
      <c r="Z59" s="6">
        <f t="shared" ref="Z59:Z93" si="19">IF(T59=0,0,X59/T59)</f>
        <v>-0.83799999999999997</v>
      </c>
    </row>
    <row r="60" spans="1:26" s="70" customFormat="1" ht="15" hidden="1" customHeight="1" outlineLevel="2" x14ac:dyDescent="0.25">
      <c r="A60" s="25"/>
      <c r="B60" s="12" t="str">
        <f>CONCATENATE("          ","6277"," - ","EMPLOYEE APPRECIATION")</f>
        <v xml:space="preserve">          6277 - EMPLOYEE APPRECIATION</v>
      </c>
      <c r="C60" s="12"/>
      <c r="D60" s="8">
        <v>16.2</v>
      </c>
      <c r="E60" s="3"/>
      <c r="F60" s="7">
        <f t="shared" si="12"/>
        <v>1.8745821244014357E-4</v>
      </c>
      <c r="G60" s="3"/>
      <c r="H60" s="8">
        <v>50</v>
      </c>
      <c r="I60" s="3"/>
      <c r="J60" s="7">
        <f t="shared" si="13"/>
        <v>1.1690437222352116E-3</v>
      </c>
      <c r="K60" s="3"/>
      <c r="L60" s="8">
        <f t="shared" si="14"/>
        <v>-33.799999999999997</v>
      </c>
      <c r="M60" s="3"/>
      <c r="N60" s="7">
        <f t="shared" si="15"/>
        <v>-0.67599999999999993</v>
      </c>
      <c r="O60" s="12"/>
      <c r="P60" s="8">
        <v>16.2</v>
      </c>
      <c r="Q60" s="3"/>
      <c r="R60" s="7">
        <f t="shared" si="16"/>
        <v>3.2532478760006492E-5</v>
      </c>
      <c r="S60" s="3"/>
      <c r="T60" s="8">
        <v>100</v>
      </c>
      <c r="U60" s="3"/>
      <c r="V60" s="7">
        <f t="shared" si="17"/>
        <v>1.9806529816749987E-4</v>
      </c>
      <c r="W60" s="3"/>
      <c r="X60" s="8">
        <f t="shared" si="18"/>
        <v>-83.8</v>
      </c>
      <c r="Y60" s="3"/>
      <c r="Z60" s="7">
        <f t="shared" si="19"/>
        <v>-0.83799999999999997</v>
      </c>
    </row>
    <row r="61" spans="1:26" s="69" customFormat="1" ht="15" customHeight="1" outlineLevel="1" collapsed="1" x14ac:dyDescent="0.25">
      <c r="A61" s="26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0</v>
      </c>
      <c r="E61" s="2"/>
      <c r="F61" s="6">
        <f t="shared" si="12"/>
        <v>0</v>
      </c>
      <c r="G61" s="2"/>
      <c r="H61" s="2">
        <f>SUM(OSRRefH22_7x_0)</f>
        <v>176</v>
      </c>
      <c r="I61" s="2"/>
      <c r="J61" s="6">
        <f t="shared" si="13"/>
        <v>4.115033902267945E-3</v>
      </c>
      <c r="K61" s="2"/>
      <c r="L61" s="2">
        <f t="shared" si="14"/>
        <v>-176</v>
      </c>
      <c r="M61" s="2"/>
      <c r="N61" s="6">
        <f t="shared" si="15"/>
        <v>-1</v>
      </c>
      <c r="O61" s="14"/>
      <c r="P61" s="2">
        <f>SUM(OSRRefP22_7x_0)</f>
        <v>30</v>
      </c>
      <c r="Q61" s="2"/>
      <c r="R61" s="6">
        <f t="shared" si="16"/>
        <v>6.0245331037049067E-5</v>
      </c>
      <c r="S61" s="2"/>
      <c r="T61" s="2">
        <f>SUM(OSRRefT22_7x_0)</f>
        <v>1936</v>
      </c>
      <c r="U61" s="2"/>
      <c r="V61" s="6">
        <f t="shared" si="17"/>
        <v>3.8345441725227973E-3</v>
      </c>
      <c r="W61" s="2"/>
      <c r="X61" s="2">
        <f t="shared" si="18"/>
        <v>-1906</v>
      </c>
      <c r="Y61" s="2"/>
      <c r="Z61" s="6">
        <f t="shared" si="19"/>
        <v>-0.98450413223140498</v>
      </c>
    </row>
    <row r="62" spans="1:26" s="70" customFormat="1" ht="15" hidden="1" customHeight="1" outlineLevel="2" x14ac:dyDescent="0.25">
      <c r="A62" s="25"/>
      <c r="B62" s="12" t="str">
        <f>CONCATENATE("          ","6351"," - ","EQUIPMENT RENTAL")</f>
        <v xml:space="preserve">          6351 - EQUIPMENT RENTAL</v>
      </c>
      <c r="C62" s="12"/>
      <c r="D62" s="8"/>
      <c r="E62" s="3"/>
      <c r="F62" s="7">
        <f t="shared" si="12"/>
        <v>0</v>
      </c>
      <c r="G62" s="3"/>
      <c r="H62" s="8">
        <v>176</v>
      </c>
      <c r="I62" s="3"/>
      <c r="J62" s="7">
        <f t="shared" si="13"/>
        <v>4.115033902267945E-3</v>
      </c>
      <c r="K62" s="3"/>
      <c r="L62" s="8">
        <f t="shared" si="14"/>
        <v>-176</v>
      </c>
      <c r="M62" s="3"/>
      <c r="N62" s="7">
        <f t="shared" si="15"/>
        <v>-1</v>
      </c>
      <c r="O62" s="12"/>
      <c r="P62" s="8">
        <v>30</v>
      </c>
      <c r="Q62" s="3"/>
      <c r="R62" s="7">
        <f t="shared" si="16"/>
        <v>6.0245331037049067E-5</v>
      </c>
      <c r="S62" s="3"/>
      <c r="T62" s="8">
        <v>1936</v>
      </c>
      <c r="U62" s="3"/>
      <c r="V62" s="7">
        <f t="shared" si="17"/>
        <v>3.8345441725227973E-3</v>
      </c>
      <c r="W62" s="3"/>
      <c r="X62" s="8">
        <f t="shared" si="18"/>
        <v>-1906</v>
      </c>
      <c r="Y62" s="3"/>
      <c r="Z62" s="7">
        <f t="shared" si="19"/>
        <v>-0.98450413223140498</v>
      </c>
    </row>
    <row r="63" spans="1:26" s="69" customFormat="1" ht="15" customHeight="1" outlineLevel="1" collapsed="1" x14ac:dyDescent="0.25">
      <c r="A63" s="26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256.79000000000002</v>
      </c>
      <c r="E63" s="2"/>
      <c r="F63" s="6">
        <f t="shared" si="12"/>
        <v>2.971444097068177E-3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256.79000000000002</v>
      </c>
      <c r="M63" s="2"/>
      <c r="N63" s="6">
        <f t="shared" si="15"/>
        <v>0</v>
      </c>
      <c r="O63" s="14"/>
      <c r="P63" s="2">
        <f>SUM(OSRRefP22_8x_0)</f>
        <v>4018.7</v>
      </c>
      <c r="Q63" s="2"/>
      <c r="R63" s="6">
        <f t="shared" si="16"/>
        <v>8.0702637279529699E-3</v>
      </c>
      <c r="S63" s="2"/>
      <c r="T63" s="2">
        <f>SUM(OSRRefT22_8x_0)</f>
        <v>1210</v>
      </c>
      <c r="U63" s="2"/>
      <c r="V63" s="6">
        <f t="shared" si="17"/>
        <v>2.3965901078267485E-3</v>
      </c>
      <c r="W63" s="2"/>
      <c r="X63" s="2">
        <f t="shared" si="18"/>
        <v>2808.7</v>
      </c>
      <c r="Y63" s="2"/>
      <c r="Z63" s="6">
        <f t="shared" si="19"/>
        <v>2.3212396694214874</v>
      </c>
    </row>
    <row r="64" spans="1:26" s="70" customFormat="1" ht="15" hidden="1" customHeight="1" outlineLevel="2" x14ac:dyDescent="0.25">
      <c r="A64" s="25"/>
      <c r="B64" s="12" t="str">
        <f>CONCATENATE("          ","6279"," - ","GENERAL EXPENSE")</f>
        <v xml:space="preserve">          6279 - GENERAL EXPENSE</v>
      </c>
      <c r="C64" s="12"/>
      <c r="D64" s="8">
        <v>256.79000000000002</v>
      </c>
      <c r="E64" s="3"/>
      <c r="F64" s="7">
        <f t="shared" si="12"/>
        <v>2.971444097068177E-3</v>
      </c>
      <c r="G64" s="3"/>
      <c r="H64" s="8"/>
      <c r="I64" s="3"/>
      <c r="J64" s="7">
        <f t="shared" si="13"/>
        <v>0</v>
      </c>
      <c r="K64" s="3"/>
      <c r="L64" s="8">
        <f t="shared" si="14"/>
        <v>256.79000000000002</v>
      </c>
      <c r="M64" s="3"/>
      <c r="N64" s="7">
        <f t="shared" si="15"/>
        <v>0</v>
      </c>
      <c r="O64" s="12"/>
      <c r="P64" s="8">
        <v>4018.7</v>
      </c>
      <c r="Q64" s="3"/>
      <c r="R64" s="7">
        <f t="shared" si="16"/>
        <v>8.0702637279529699E-3</v>
      </c>
      <c r="S64" s="3"/>
      <c r="T64" s="8">
        <v>1210</v>
      </c>
      <c r="U64" s="3"/>
      <c r="V64" s="7">
        <f t="shared" si="17"/>
        <v>2.3965901078267485E-3</v>
      </c>
      <c r="W64" s="3"/>
      <c r="X64" s="8">
        <f t="shared" si="18"/>
        <v>2808.7</v>
      </c>
      <c r="Y64" s="3"/>
      <c r="Z64" s="7">
        <f t="shared" si="19"/>
        <v>2.3212396694214874</v>
      </c>
    </row>
    <row r="65" spans="1:26" s="69" customFormat="1" ht="15" customHeight="1" outlineLevel="1" collapsed="1" x14ac:dyDescent="0.25">
      <c r="A65" s="26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3.8302804259143161E-3</v>
      </c>
      <c r="G65" s="2"/>
      <c r="H65" s="2">
        <f>SUM(OSRRefH22_9x_0)</f>
        <v>330</v>
      </c>
      <c r="I65" s="2"/>
      <c r="J65" s="6">
        <f t="shared" si="13"/>
        <v>7.7156885667523968E-3</v>
      </c>
      <c r="K65" s="2"/>
      <c r="L65" s="2">
        <f t="shared" si="14"/>
        <v>1.0099999999999909</v>
      </c>
      <c r="M65" s="2"/>
      <c r="N65" s="6">
        <f t="shared" si="15"/>
        <v>3.0606060606060332E-3</v>
      </c>
      <c r="O65" s="14"/>
      <c r="P65" s="2">
        <f>SUM(OSRRefP22_9x_0)</f>
        <v>3641.11</v>
      </c>
      <c r="Q65" s="2"/>
      <c r="R65" s="6">
        <f t="shared" si="16"/>
        <v>7.311995909743658E-3</v>
      </c>
      <c r="S65" s="2"/>
      <c r="T65" s="2">
        <f>SUM(OSRRefT22_9x_0)</f>
        <v>3630</v>
      </c>
      <c r="U65" s="2"/>
      <c r="V65" s="6">
        <f t="shared" si="17"/>
        <v>7.189770323480245E-3</v>
      </c>
      <c r="W65" s="2"/>
      <c r="X65" s="2">
        <f t="shared" si="18"/>
        <v>11.110000000000127</v>
      </c>
      <c r="Y65" s="2"/>
      <c r="Z65" s="6">
        <f t="shared" si="19"/>
        <v>3.0606060606060957E-3</v>
      </c>
    </row>
    <row r="66" spans="1:26" s="70" customFormat="1" ht="15" hidden="1" customHeight="1" outlineLevel="2" x14ac:dyDescent="0.25">
      <c r="A66" s="25"/>
      <c r="B66" s="12" t="str">
        <f>CONCATENATE("          ","6314"," - ","LIABILITY INSURANCE")</f>
        <v xml:space="preserve">          6314 - LIABILITY INSURANCE</v>
      </c>
      <c r="C66" s="12"/>
      <c r="D66" s="8">
        <v>331.01</v>
      </c>
      <c r="E66" s="3"/>
      <c r="F66" s="7">
        <f t="shared" si="12"/>
        <v>3.8302804259143161E-3</v>
      </c>
      <c r="G66" s="3"/>
      <c r="H66" s="8">
        <v>330</v>
      </c>
      <c r="I66" s="3"/>
      <c r="J66" s="7">
        <f t="shared" si="13"/>
        <v>7.7156885667523968E-3</v>
      </c>
      <c r="K66" s="3"/>
      <c r="L66" s="8">
        <f t="shared" si="14"/>
        <v>1.0099999999999909</v>
      </c>
      <c r="M66" s="3"/>
      <c r="N66" s="7">
        <f t="shared" si="15"/>
        <v>3.0606060606060332E-3</v>
      </c>
      <c r="O66" s="12"/>
      <c r="P66" s="8">
        <v>3641.11</v>
      </c>
      <c r="Q66" s="3"/>
      <c r="R66" s="7">
        <f t="shared" si="16"/>
        <v>7.311995909743658E-3</v>
      </c>
      <c r="S66" s="3"/>
      <c r="T66" s="8">
        <v>3630</v>
      </c>
      <c r="U66" s="3"/>
      <c r="V66" s="7">
        <f t="shared" si="17"/>
        <v>7.189770323480245E-3</v>
      </c>
      <c r="W66" s="3"/>
      <c r="X66" s="8">
        <f t="shared" si="18"/>
        <v>11.110000000000127</v>
      </c>
      <c r="Y66" s="3"/>
      <c r="Z66" s="7">
        <f t="shared" si="19"/>
        <v>3.0606060606060957E-3</v>
      </c>
    </row>
    <row r="67" spans="1:26" s="69" customFormat="1" ht="15" customHeight="1" outlineLevel="1" collapsed="1" x14ac:dyDescent="0.25">
      <c r="A67" s="26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3905</v>
      </c>
      <c r="E67" s="2"/>
      <c r="F67" s="6">
        <f t="shared" si="12"/>
        <v>4.5186686393750654E-2</v>
      </c>
      <c r="G67" s="2"/>
      <c r="H67" s="2">
        <f>SUM(OSRRefH22_10x_0)</f>
        <v>3760</v>
      </c>
      <c r="I67" s="2"/>
      <c r="J67" s="6">
        <f t="shared" si="13"/>
        <v>8.7912087912087919E-2</v>
      </c>
      <c r="K67" s="2"/>
      <c r="L67" s="2">
        <f t="shared" si="14"/>
        <v>145</v>
      </c>
      <c r="M67" s="2"/>
      <c r="N67" s="6">
        <f t="shared" si="15"/>
        <v>3.8563829787234043E-2</v>
      </c>
      <c r="O67" s="14"/>
      <c r="P67" s="2">
        <f>SUM(OSRRefP22_10x_0)</f>
        <v>41805</v>
      </c>
      <c r="Q67" s="2"/>
      <c r="R67" s="6">
        <f t="shared" si="16"/>
        <v>8.395186880012788E-2</v>
      </c>
      <c r="S67" s="2"/>
      <c r="T67" s="2">
        <f>SUM(OSRRefT22_10x_0)</f>
        <v>42810</v>
      </c>
      <c r="U67" s="2"/>
      <c r="V67" s="6">
        <f t="shared" si="17"/>
        <v>8.4791754145506687E-2</v>
      </c>
      <c r="W67" s="2"/>
      <c r="X67" s="2">
        <f t="shared" si="18"/>
        <v>-1005</v>
      </c>
      <c r="Y67" s="2"/>
      <c r="Z67" s="6">
        <f t="shared" si="19"/>
        <v>-2.3475823405746322E-2</v>
      </c>
    </row>
    <row r="68" spans="1:26" s="70" customFormat="1" ht="15" hidden="1" customHeight="1" outlineLevel="2" x14ac:dyDescent="0.25">
      <c r="A68" s="25"/>
      <c r="B68" s="12" t="str">
        <f>CONCATENATE("          ","6401"," - ","INTEREST EXPENSE")</f>
        <v xml:space="preserve">          6401 - INTEREST EXPENSE</v>
      </c>
      <c r="C68" s="12"/>
      <c r="D68" s="8">
        <v>3905</v>
      </c>
      <c r="E68" s="3"/>
      <c r="F68" s="7">
        <f t="shared" si="12"/>
        <v>4.5186686393750654E-2</v>
      </c>
      <c r="G68" s="3"/>
      <c r="H68" s="8">
        <v>3760</v>
      </c>
      <c r="I68" s="3"/>
      <c r="J68" s="7">
        <f t="shared" si="13"/>
        <v>8.7912087912087919E-2</v>
      </c>
      <c r="K68" s="3"/>
      <c r="L68" s="8">
        <f t="shared" si="14"/>
        <v>145</v>
      </c>
      <c r="M68" s="3"/>
      <c r="N68" s="7">
        <f t="shared" si="15"/>
        <v>3.8563829787234043E-2</v>
      </c>
      <c r="O68" s="12"/>
      <c r="P68" s="8">
        <v>41805</v>
      </c>
      <c r="Q68" s="3"/>
      <c r="R68" s="7">
        <f t="shared" si="16"/>
        <v>8.395186880012788E-2</v>
      </c>
      <c r="S68" s="3"/>
      <c r="T68" s="8">
        <v>42810</v>
      </c>
      <c r="U68" s="3"/>
      <c r="V68" s="7">
        <f t="shared" si="17"/>
        <v>8.4791754145506687E-2</v>
      </c>
      <c r="W68" s="3"/>
      <c r="X68" s="8">
        <f t="shared" si="18"/>
        <v>-1005</v>
      </c>
      <c r="Y68" s="3"/>
      <c r="Z68" s="7">
        <f t="shared" si="19"/>
        <v>-2.3475823405746322E-2</v>
      </c>
    </row>
    <row r="69" spans="1:26" s="69" customFormat="1" ht="15" customHeight="1" outlineLevel="1" collapsed="1" x14ac:dyDescent="0.25">
      <c r="A69" s="26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467.96</v>
      </c>
      <c r="E69" s="2"/>
      <c r="F69" s="6">
        <f t="shared" si="12"/>
        <v>5.4149966107092332E-3</v>
      </c>
      <c r="G69" s="2"/>
      <c r="H69" s="2">
        <f>SUM(OSRRefH22_11x_0)</f>
        <v>215</v>
      </c>
      <c r="I69" s="2"/>
      <c r="J69" s="6">
        <f t="shared" si="13"/>
        <v>5.02688800561141E-3</v>
      </c>
      <c r="K69" s="2"/>
      <c r="L69" s="2">
        <f t="shared" si="14"/>
        <v>252.95999999999998</v>
      </c>
      <c r="M69" s="2"/>
      <c r="N69" s="6">
        <f t="shared" si="15"/>
        <v>1.1765581395348836</v>
      </c>
      <c r="O69" s="14"/>
      <c r="P69" s="2">
        <f>SUM(OSRRefP22_11x_0)</f>
        <v>7126.35</v>
      </c>
      <c r="Q69" s="2"/>
      <c r="R69" s="6">
        <f t="shared" si="16"/>
        <v>1.4310977161195821E-2</v>
      </c>
      <c r="S69" s="2"/>
      <c r="T69" s="2">
        <f>SUM(OSRRefT22_11x_0)</f>
        <v>7892</v>
      </c>
      <c r="U69" s="2"/>
      <c r="V69" s="6">
        <f t="shared" si="17"/>
        <v>1.5631313331379088E-2</v>
      </c>
      <c r="W69" s="2"/>
      <c r="X69" s="2">
        <f t="shared" si="18"/>
        <v>-765.64999999999964</v>
      </c>
      <c r="Y69" s="2"/>
      <c r="Z69" s="6">
        <f t="shared" si="19"/>
        <v>-9.7015965534718654E-2</v>
      </c>
    </row>
    <row r="70" spans="1:26" s="70" customFormat="1" ht="15" hidden="1" customHeight="1" outlineLevel="2" x14ac:dyDescent="0.25">
      <c r="A70" s="25"/>
      <c r="B70" s="12" t="str">
        <f>CONCATENATE("          ","6371"," - ","COMPUTER SOFTWARE MAINTENANCE")</f>
        <v xml:space="preserve">          6371 - COMPUTER SOFTWARE MAINTENANCE</v>
      </c>
      <c r="C70" s="12"/>
      <c r="D70" s="8"/>
      <c r="E70" s="3"/>
      <c r="F70" s="7">
        <f t="shared" si="12"/>
        <v>0</v>
      </c>
      <c r="G70" s="3"/>
      <c r="H70" s="8"/>
      <c r="I70" s="3"/>
      <c r="J70" s="7">
        <f t="shared" si="13"/>
        <v>0</v>
      </c>
      <c r="K70" s="3"/>
      <c r="L70" s="8">
        <f t="shared" si="14"/>
        <v>0</v>
      </c>
      <c r="M70" s="3"/>
      <c r="N70" s="7">
        <f t="shared" si="15"/>
        <v>0</v>
      </c>
      <c r="O70" s="12"/>
      <c r="P70" s="8"/>
      <c r="Q70" s="3"/>
      <c r="R70" s="7">
        <f t="shared" si="16"/>
        <v>0</v>
      </c>
      <c r="S70" s="3"/>
      <c r="T70" s="8">
        <v>2623</v>
      </c>
      <c r="U70" s="3"/>
      <c r="V70" s="7">
        <f t="shared" si="17"/>
        <v>5.195252770933521E-3</v>
      </c>
      <c r="W70" s="3"/>
      <c r="X70" s="8">
        <f t="shared" si="18"/>
        <v>-2623</v>
      </c>
      <c r="Y70" s="3"/>
      <c r="Z70" s="7">
        <f t="shared" si="19"/>
        <v>-1</v>
      </c>
    </row>
    <row r="71" spans="1:26" s="70" customFormat="1" ht="15" hidden="1" customHeight="1" outlineLevel="2" x14ac:dyDescent="0.25">
      <c r="A71" s="25"/>
      <c r="B71" s="12" t="str">
        <f>CONCATENATE("          ","6373"," - ","MAINTENANCE CONTRACTS")</f>
        <v xml:space="preserve">          6373 - MAINTENANCE CONTRACTS</v>
      </c>
      <c r="C71" s="12"/>
      <c r="D71" s="8">
        <v>384.19</v>
      </c>
      <c r="E71" s="3"/>
      <c r="F71" s="7">
        <f t="shared" si="12"/>
        <v>4.4456525084801699E-3</v>
      </c>
      <c r="G71" s="3"/>
      <c r="H71" s="8"/>
      <c r="I71" s="3"/>
      <c r="J71" s="7">
        <f t="shared" si="13"/>
        <v>0</v>
      </c>
      <c r="K71" s="3"/>
      <c r="L71" s="8">
        <f t="shared" si="14"/>
        <v>384.19</v>
      </c>
      <c r="M71" s="3"/>
      <c r="N71" s="7">
        <f t="shared" si="15"/>
        <v>0</v>
      </c>
      <c r="O71" s="12"/>
      <c r="P71" s="8">
        <v>1413.39</v>
      </c>
      <c r="Q71" s="3"/>
      <c r="R71" s="7">
        <f t="shared" si="16"/>
        <v>2.8383382811484931E-3</v>
      </c>
      <c r="S71" s="3"/>
      <c r="T71" s="8">
        <v>1274</v>
      </c>
      <c r="U71" s="3"/>
      <c r="V71" s="7">
        <f t="shared" si="17"/>
        <v>2.5233518986539482E-3</v>
      </c>
      <c r="W71" s="3"/>
      <c r="X71" s="8">
        <f t="shared" si="18"/>
        <v>139.3900000000001</v>
      </c>
      <c r="Y71" s="3"/>
      <c r="Z71" s="7">
        <f t="shared" si="19"/>
        <v>0.10941130298273163</v>
      </c>
    </row>
    <row r="72" spans="1:26" s="70" customFormat="1" ht="15" hidden="1" customHeight="1" outlineLevel="2" x14ac:dyDescent="0.25">
      <c r="A72" s="25"/>
      <c r="B72" s="12" t="str">
        <f>CONCATENATE("          ","6375"," - ","OUTSIDE REPAIRS &amp; MAINTENANCE")</f>
        <v xml:space="preserve">          6375 - OUTSIDE REPAIRS &amp; MAINTENANCE</v>
      </c>
      <c r="C72" s="12"/>
      <c r="D72" s="8">
        <v>83.77</v>
      </c>
      <c r="E72" s="3"/>
      <c r="F72" s="7">
        <f t="shared" si="12"/>
        <v>9.6934410222906334E-4</v>
      </c>
      <c r="G72" s="3"/>
      <c r="H72" s="8">
        <v>215</v>
      </c>
      <c r="I72" s="3"/>
      <c r="J72" s="7">
        <f t="shared" si="13"/>
        <v>5.02688800561141E-3</v>
      </c>
      <c r="K72" s="3"/>
      <c r="L72" s="8">
        <f t="shared" si="14"/>
        <v>-131.23000000000002</v>
      </c>
      <c r="M72" s="3"/>
      <c r="N72" s="7">
        <f t="shared" si="15"/>
        <v>-0.6103720930232559</v>
      </c>
      <c r="O72" s="12"/>
      <c r="P72" s="8">
        <v>5712.96</v>
      </c>
      <c r="Q72" s="3"/>
      <c r="R72" s="7">
        <f t="shared" si="16"/>
        <v>1.1472638880047329E-2</v>
      </c>
      <c r="S72" s="3"/>
      <c r="T72" s="8">
        <v>3995</v>
      </c>
      <c r="U72" s="3"/>
      <c r="V72" s="7">
        <f t="shared" si="17"/>
        <v>7.912708661791619E-3</v>
      </c>
      <c r="W72" s="3"/>
      <c r="X72" s="8">
        <f t="shared" si="18"/>
        <v>1717.96</v>
      </c>
      <c r="Y72" s="3"/>
      <c r="Z72" s="7">
        <f t="shared" si="19"/>
        <v>0.43002753441802255</v>
      </c>
    </row>
    <row r="73" spans="1:26" s="69" customFormat="1" ht="15" customHeight="1" outlineLevel="1" collapsed="1" x14ac:dyDescent="0.25">
      <c r="A73" s="26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2">
        <f>SUM(OSRRefD22_12x_0)</f>
        <v>0</v>
      </c>
      <c r="E73" s="2"/>
      <c r="F73" s="6">
        <f t="shared" si="12"/>
        <v>0</v>
      </c>
      <c r="G73" s="2"/>
      <c r="H73" s="2">
        <f>SUM(OSRRefH22_12x_0)</f>
        <v>1239</v>
      </c>
      <c r="I73" s="2"/>
      <c r="J73" s="6">
        <f t="shared" si="13"/>
        <v>2.8968903436988543E-2</v>
      </c>
      <c r="K73" s="2"/>
      <c r="L73" s="2">
        <f t="shared" si="14"/>
        <v>-1239</v>
      </c>
      <c r="M73" s="2"/>
      <c r="N73" s="6">
        <f t="shared" si="15"/>
        <v>-1</v>
      </c>
      <c r="O73" s="14"/>
      <c r="P73" s="2">
        <f>SUM(OSRRefP22_12x_0)</f>
        <v>4367.51</v>
      </c>
      <c r="Q73" s="2"/>
      <c r="R73" s="6">
        <f t="shared" si="16"/>
        <v>8.7707361919207392E-3</v>
      </c>
      <c r="S73" s="2"/>
      <c r="T73" s="2">
        <f>SUM(OSRRefT22_12x_0)</f>
        <v>13834</v>
      </c>
      <c r="U73" s="2"/>
      <c r="V73" s="6">
        <f t="shared" si="17"/>
        <v>2.7400353348491932E-2</v>
      </c>
      <c r="W73" s="2"/>
      <c r="X73" s="2">
        <f t="shared" si="18"/>
        <v>-9466.49</v>
      </c>
      <c r="Y73" s="2"/>
      <c r="Z73" s="6">
        <f t="shared" si="19"/>
        <v>-0.68429160040479975</v>
      </c>
    </row>
    <row r="74" spans="1:26" s="70" customFormat="1" ht="15" hidden="1" customHeight="1" outlineLevel="2" x14ac:dyDescent="0.25">
      <c r="A74" s="25"/>
      <c r="B74" s="12" t="str">
        <f>CONCATENATE("          ","6254"," - ","ROYALTY &amp; COMMISSIONS")</f>
        <v xml:space="preserve">          6254 - ROYALTY &amp; COMMISSIONS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>
        <v>4367.51</v>
      </c>
      <c r="Q74" s="3"/>
      <c r="R74" s="7">
        <f t="shared" si="16"/>
        <v>8.7707361919207392E-3</v>
      </c>
      <c r="S74" s="3"/>
      <c r="T74" s="8"/>
      <c r="U74" s="3"/>
      <c r="V74" s="7">
        <f t="shared" si="17"/>
        <v>0</v>
      </c>
      <c r="W74" s="3"/>
      <c r="X74" s="8">
        <f t="shared" si="18"/>
        <v>4367.51</v>
      </c>
      <c r="Y74" s="3"/>
      <c r="Z74" s="7">
        <f t="shared" si="19"/>
        <v>0</v>
      </c>
    </row>
    <row r="75" spans="1:26" s="70" customFormat="1" ht="15" hidden="1" customHeight="1" outlineLevel="2" x14ac:dyDescent="0.25">
      <c r="A75" s="25"/>
      <c r="B75" s="12" t="str">
        <f>CONCATENATE("          ","6259"," - ","ROYALTY &amp; COMMISSIONS")</f>
        <v xml:space="preserve">          6259 - ROYALTY &amp; COMMISSIONS</v>
      </c>
      <c r="C75" s="12"/>
      <c r="D75" s="8"/>
      <c r="E75" s="3"/>
      <c r="F75" s="7">
        <f t="shared" si="12"/>
        <v>0</v>
      </c>
      <c r="G75" s="3"/>
      <c r="H75" s="8">
        <v>1239</v>
      </c>
      <c r="I75" s="3"/>
      <c r="J75" s="7">
        <f t="shared" si="13"/>
        <v>2.8968903436988543E-2</v>
      </c>
      <c r="K75" s="3"/>
      <c r="L75" s="8">
        <f t="shared" si="14"/>
        <v>-1239</v>
      </c>
      <c r="M75" s="3"/>
      <c r="N75" s="7">
        <f t="shared" si="15"/>
        <v>-1</v>
      </c>
      <c r="O75" s="12"/>
      <c r="P75" s="8"/>
      <c r="Q75" s="3"/>
      <c r="R75" s="7">
        <f t="shared" si="16"/>
        <v>0</v>
      </c>
      <c r="S75" s="3"/>
      <c r="T75" s="8">
        <v>13834</v>
      </c>
      <c r="U75" s="3"/>
      <c r="V75" s="7">
        <f t="shared" si="17"/>
        <v>2.7400353348491932E-2</v>
      </c>
      <c r="W75" s="3"/>
      <c r="X75" s="8">
        <f t="shared" si="18"/>
        <v>-13834</v>
      </c>
      <c r="Y75" s="3"/>
      <c r="Z75" s="7">
        <f t="shared" si="19"/>
        <v>-1</v>
      </c>
    </row>
    <row r="76" spans="1:26" s="69" customFormat="1" ht="15" customHeight="1" outlineLevel="1" collapsed="1" x14ac:dyDescent="0.25">
      <c r="A76" s="26"/>
      <c r="B76" s="14" t="str">
        <f>CONCATENATE("     ","Services                                          ")</f>
        <v xml:space="preserve">     Services                                          </v>
      </c>
      <c r="C76" s="14"/>
      <c r="D76" s="2">
        <f>SUM(OSRRefD22_13x_0)</f>
        <v>222.03</v>
      </c>
      <c r="E76" s="2"/>
      <c r="F76" s="6">
        <f t="shared" si="12"/>
        <v>2.569218944943523E-3</v>
      </c>
      <c r="G76" s="2"/>
      <c r="H76" s="2">
        <f>SUM(OSRRefH22_13x_0)</f>
        <v>292</v>
      </c>
      <c r="I76" s="2"/>
      <c r="J76" s="6">
        <f t="shared" si="13"/>
        <v>6.8272153378536359E-3</v>
      </c>
      <c r="K76" s="2"/>
      <c r="L76" s="2">
        <f t="shared" si="14"/>
        <v>-69.97</v>
      </c>
      <c r="M76" s="2"/>
      <c r="N76" s="6">
        <f t="shared" si="15"/>
        <v>-0.23962328767123287</v>
      </c>
      <c r="O76" s="14"/>
      <c r="P76" s="2">
        <f>SUM(OSRRefP22_13x_0)</f>
        <v>12638.830000000002</v>
      </c>
      <c r="Q76" s="2"/>
      <c r="R76" s="6">
        <f t="shared" si="16"/>
        <v>2.5381016575699567E-2</v>
      </c>
      <c r="S76" s="2"/>
      <c r="T76" s="2">
        <f>SUM(OSRRefT22_13x_0)</f>
        <v>2929</v>
      </c>
      <c r="U76" s="2"/>
      <c r="V76" s="6">
        <f t="shared" si="17"/>
        <v>5.8013325833260708E-3</v>
      </c>
      <c r="W76" s="2"/>
      <c r="X76" s="2">
        <f t="shared" si="18"/>
        <v>9709.8300000000017</v>
      </c>
      <c r="Y76" s="2"/>
      <c r="Z76" s="6">
        <f t="shared" si="19"/>
        <v>3.3150665756230802</v>
      </c>
    </row>
    <row r="77" spans="1:26" s="70" customFormat="1" ht="15" hidden="1" customHeight="1" outlineLevel="2" x14ac:dyDescent="0.25">
      <c r="A77" s="25"/>
      <c r="B77" s="12" t="str">
        <f>CONCATENATE("          ","6282"," - ","JANITORIAL/EXTERMINATOR EXPENS")</f>
        <v xml:space="preserve">          6282 - JANITORIAL/EXTERMINATOR EXPENS</v>
      </c>
      <c r="C77" s="12"/>
      <c r="D77" s="8">
        <v>129</v>
      </c>
      <c r="E77" s="3"/>
      <c r="F77" s="7">
        <f t="shared" si="12"/>
        <v>1.4927228027641062E-3</v>
      </c>
      <c r="G77" s="3"/>
      <c r="H77" s="8">
        <v>258</v>
      </c>
      <c r="I77" s="3"/>
      <c r="J77" s="7">
        <f t="shared" si="13"/>
        <v>6.0322656067336921E-3</v>
      </c>
      <c r="K77" s="3"/>
      <c r="L77" s="8">
        <f t="shared" si="14"/>
        <v>-129</v>
      </c>
      <c r="M77" s="3"/>
      <c r="N77" s="7">
        <f t="shared" si="15"/>
        <v>-0.5</v>
      </c>
      <c r="O77" s="12"/>
      <c r="P77" s="8">
        <v>3752.2</v>
      </c>
      <c r="Q77" s="3"/>
      <c r="R77" s="7">
        <f t="shared" si="16"/>
        <v>7.5350843705738503E-3</v>
      </c>
      <c r="S77" s="3"/>
      <c r="T77" s="8">
        <v>2580</v>
      </c>
      <c r="U77" s="3"/>
      <c r="V77" s="7">
        <f t="shared" si="17"/>
        <v>5.1100846927214965E-3</v>
      </c>
      <c r="W77" s="3"/>
      <c r="X77" s="8">
        <f t="shared" si="18"/>
        <v>1172.1999999999998</v>
      </c>
      <c r="Y77" s="3"/>
      <c r="Z77" s="7">
        <f t="shared" si="19"/>
        <v>0.45434108527131778</v>
      </c>
    </row>
    <row r="78" spans="1:26" s="70" customFormat="1" ht="15" hidden="1" customHeight="1" outlineLevel="2" x14ac:dyDescent="0.25">
      <c r="A78" s="25"/>
      <c r="B78" s="12" t="str">
        <f>CONCATENATE("          ","6285"," - ","JANITORIAL SERVICES")</f>
        <v xml:space="preserve">          6285 - JANITORIAL SERVICES</v>
      </c>
      <c r="C78" s="12"/>
      <c r="D78" s="8"/>
      <c r="E78" s="3"/>
      <c r="F78" s="7">
        <f t="shared" si="12"/>
        <v>0</v>
      </c>
      <c r="G78" s="3"/>
      <c r="H78" s="8"/>
      <c r="I78" s="3"/>
      <c r="J78" s="7">
        <f t="shared" si="13"/>
        <v>0</v>
      </c>
      <c r="K78" s="3"/>
      <c r="L78" s="8">
        <f t="shared" si="14"/>
        <v>0</v>
      </c>
      <c r="M78" s="3"/>
      <c r="N78" s="7">
        <f t="shared" si="15"/>
        <v>0</v>
      </c>
      <c r="O78" s="12"/>
      <c r="P78" s="8">
        <v>7738.84</v>
      </c>
      <c r="Q78" s="3"/>
      <c r="R78" s="7">
        <f t="shared" si="16"/>
        <v>1.5540965921425228E-2</v>
      </c>
      <c r="S78" s="3"/>
      <c r="T78" s="8"/>
      <c r="U78" s="3"/>
      <c r="V78" s="7">
        <f t="shared" si="17"/>
        <v>0</v>
      </c>
      <c r="W78" s="3"/>
      <c r="X78" s="8">
        <f t="shared" si="18"/>
        <v>7738.84</v>
      </c>
      <c r="Y78" s="3"/>
      <c r="Z78" s="7">
        <f t="shared" si="19"/>
        <v>0</v>
      </c>
    </row>
    <row r="79" spans="1:26" s="70" customFormat="1" ht="15" hidden="1" customHeight="1" outlineLevel="2" x14ac:dyDescent="0.25">
      <c r="A79" s="25"/>
      <c r="B79" s="12" t="str">
        <f>CONCATENATE("          ","6286"," - ","LAUNDRY EXPENSE")</f>
        <v xml:space="preserve">          6286 - LAUNDRY EXPENSE</v>
      </c>
      <c r="C79" s="12"/>
      <c r="D79" s="8">
        <v>93.03</v>
      </c>
      <c r="E79" s="3"/>
      <c r="F79" s="7">
        <f t="shared" si="12"/>
        <v>1.076496142179417E-3</v>
      </c>
      <c r="G79" s="3"/>
      <c r="H79" s="8">
        <v>34</v>
      </c>
      <c r="I79" s="3"/>
      <c r="J79" s="7">
        <f t="shared" si="13"/>
        <v>7.9494973111994386E-4</v>
      </c>
      <c r="K79" s="3"/>
      <c r="L79" s="8">
        <f t="shared" si="14"/>
        <v>59.03</v>
      </c>
      <c r="M79" s="3"/>
      <c r="N79" s="7">
        <f t="shared" si="15"/>
        <v>1.7361764705882354</v>
      </c>
      <c r="O79" s="12"/>
      <c r="P79" s="8">
        <v>1147.79</v>
      </c>
      <c r="Q79" s="3"/>
      <c r="R79" s="7">
        <f t="shared" si="16"/>
        <v>2.3049662837004849E-3</v>
      </c>
      <c r="S79" s="3"/>
      <c r="T79" s="8">
        <v>349</v>
      </c>
      <c r="U79" s="3"/>
      <c r="V79" s="7">
        <f t="shared" si="17"/>
        <v>6.9124789060457455E-4</v>
      </c>
      <c r="W79" s="3"/>
      <c r="X79" s="8">
        <f t="shared" si="18"/>
        <v>798.79</v>
      </c>
      <c r="Y79" s="3"/>
      <c r="Z79" s="7">
        <f t="shared" si="19"/>
        <v>2.2887965616045842</v>
      </c>
    </row>
    <row r="80" spans="1:26" s="69" customFormat="1" ht="15" customHeight="1" outlineLevel="1" collapsed="1" x14ac:dyDescent="0.25">
      <c r="A80" s="26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SUM(OSRRefD22_14x_0)</f>
        <v>838.15</v>
      </c>
      <c r="E80" s="2"/>
      <c r="F80" s="6">
        <f t="shared" si="12"/>
        <v>9.6986481948584148E-3</v>
      </c>
      <c r="G80" s="2"/>
      <c r="H80" s="2">
        <f>SUM(OSRRefH22_14x_0)</f>
        <v>1700</v>
      </c>
      <c r="I80" s="2"/>
      <c r="J80" s="6">
        <f t="shared" si="13"/>
        <v>3.9747486555997191E-2</v>
      </c>
      <c r="K80" s="2"/>
      <c r="L80" s="2">
        <f t="shared" si="14"/>
        <v>-861.85</v>
      </c>
      <c r="M80" s="2"/>
      <c r="N80" s="6">
        <f t="shared" si="15"/>
        <v>-0.50697058823529417</v>
      </c>
      <c r="O80" s="14"/>
      <c r="P80" s="2">
        <f>SUM(OSRRefP22_14x_0)</f>
        <v>6491.1</v>
      </c>
      <c r="Q80" s="2"/>
      <c r="R80" s="6">
        <f t="shared" si="16"/>
        <v>1.3035282276486308E-2</v>
      </c>
      <c r="S80" s="2"/>
      <c r="T80" s="2">
        <f>SUM(OSRRefT22_14x_0)</f>
        <v>20350</v>
      </c>
      <c r="U80" s="2"/>
      <c r="V80" s="6">
        <f t="shared" si="17"/>
        <v>4.0306288177086223E-2</v>
      </c>
      <c r="W80" s="2"/>
      <c r="X80" s="2">
        <f t="shared" si="18"/>
        <v>-13858.9</v>
      </c>
      <c r="Y80" s="2"/>
      <c r="Z80" s="6">
        <f t="shared" si="19"/>
        <v>-0.681027027027027</v>
      </c>
    </row>
    <row r="81" spans="1:26" s="70" customFormat="1" ht="15" hidden="1" customHeight="1" outlineLevel="2" x14ac:dyDescent="0.25">
      <c r="A81" s="25"/>
      <c r="B81" s="12" t="str">
        <f>CONCATENATE("          ","6234"," - ","EXPENDABLE SUPPLIES &amp; EQUIPMEN")</f>
        <v xml:space="preserve">          6234 - EXPENDABLE SUPPLIES &amp; EQUIPMEN</v>
      </c>
      <c r="C81" s="12"/>
      <c r="D81" s="8"/>
      <c r="E81" s="3"/>
      <c r="F81" s="7">
        <f t="shared" si="12"/>
        <v>0</v>
      </c>
      <c r="G81" s="3"/>
      <c r="H81" s="8">
        <v>50</v>
      </c>
      <c r="I81" s="3"/>
      <c r="J81" s="7">
        <f t="shared" si="13"/>
        <v>1.1690437222352116E-3</v>
      </c>
      <c r="K81" s="3"/>
      <c r="L81" s="8">
        <f t="shared" si="14"/>
        <v>-50</v>
      </c>
      <c r="M81" s="3"/>
      <c r="N81" s="7">
        <f t="shared" si="15"/>
        <v>-1</v>
      </c>
      <c r="O81" s="12"/>
      <c r="P81" s="8">
        <v>1194.8900000000001</v>
      </c>
      <c r="Q81" s="3"/>
      <c r="R81" s="7">
        <f t="shared" si="16"/>
        <v>2.399551453428652E-3</v>
      </c>
      <c r="S81" s="3"/>
      <c r="T81" s="8">
        <v>800</v>
      </c>
      <c r="U81" s="3"/>
      <c r="V81" s="7">
        <f t="shared" si="17"/>
        <v>1.5845223853399989E-3</v>
      </c>
      <c r="W81" s="3"/>
      <c r="X81" s="8">
        <f t="shared" si="18"/>
        <v>394.8900000000001</v>
      </c>
      <c r="Y81" s="3"/>
      <c r="Z81" s="7">
        <f t="shared" si="19"/>
        <v>0.49361250000000012</v>
      </c>
    </row>
    <row r="82" spans="1:26" s="70" customFormat="1" ht="15" hidden="1" customHeight="1" outlineLevel="2" x14ac:dyDescent="0.25">
      <c r="A82" s="25"/>
      <c r="B82" s="12" t="str">
        <f>CONCATENATE("          ","6235"," - ","COVID-19 EXPENSES")</f>
        <v xml:space="preserve">          6235 - COVID-19 EXPENSES</v>
      </c>
      <c r="C82" s="12"/>
      <c r="D82" s="8"/>
      <c r="E82" s="3"/>
      <c r="F82" s="7">
        <f t="shared" si="12"/>
        <v>0</v>
      </c>
      <c r="G82" s="3"/>
      <c r="H82" s="8"/>
      <c r="I82" s="3"/>
      <c r="J82" s="7">
        <f t="shared" si="13"/>
        <v>0</v>
      </c>
      <c r="K82" s="3"/>
      <c r="L82" s="8">
        <f t="shared" si="14"/>
        <v>0</v>
      </c>
      <c r="M82" s="3"/>
      <c r="N82" s="7">
        <f t="shared" si="15"/>
        <v>0</v>
      </c>
      <c r="O82" s="12"/>
      <c r="P82" s="8">
        <v>71.45</v>
      </c>
      <c r="Q82" s="3"/>
      <c r="R82" s="7">
        <f t="shared" si="16"/>
        <v>1.4348429675323853E-4</v>
      </c>
      <c r="S82" s="3"/>
      <c r="T82" s="8"/>
      <c r="U82" s="3"/>
      <c r="V82" s="7">
        <f t="shared" si="17"/>
        <v>0</v>
      </c>
      <c r="W82" s="3"/>
      <c r="X82" s="8">
        <f t="shared" si="18"/>
        <v>71.45</v>
      </c>
      <c r="Y82" s="3"/>
      <c r="Z82" s="7">
        <f t="shared" si="19"/>
        <v>0</v>
      </c>
    </row>
    <row r="83" spans="1:26" s="70" customFormat="1" ht="15" hidden="1" customHeight="1" outlineLevel="2" x14ac:dyDescent="0.25">
      <c r="A83" s="25"/>
      <c r="B83" s="12" t="str">
        <f>CONCATENATE("          ","6237"," - ","JANITORIAL SUPPLIES")</f>
        <v xml:space="preserve">          6237 - JANITORIAL SUPPLIES</v>
      </c>
      <c r="C83" s="12"/>
      <c r="D83" s="8">
        <v>196.26</v>
      </c>
      <c r="E83" s="3"/>
      <c r="F83" s="7">
        <f t="shared" si="12"/>
        <v>2.271021529228554E-3</v>
      </c>
      <c r="G83" s="3"/>
      <c r="H83" s="8">
        <v>0</v>
      </c>
      <c r="I83" s="3"/>
      <c r="J83" s="7">
        <f t="shared" si="13"/>
        <v>0</v>
      </c>
      <c r="K83" s="3"/>
      <c r="L83" s="8">
        <f t="shared" si="14"/>
        <v>196.26</v>
      </c>
      <c r="M83" s="3"/>
      <c r="N83" s="7">
        <f t="shared" si="15"/>
        <v>0</v>
      </c>
      <c r="O83" s="12"/>
      <c r="P83" s="8">
        <v>1135.07</v>
      </c>
      <c r="Q83" s="3"/>
      <c r="R83" s="7">
        <f t="shared" si="16"/>
        <v>2.279422263340776E-3</v>
      </c>
      <c r="S83" s="3"/>
      <c r="T83" s="8">
        <v>250</v>
      </c>
      <c r="U83" s="3"/>
      <c r="V83" s="7">
        <f t="shared" si="17"/>
        <v>4.9516324541874963E-4</v>
      </c>
      <c r="W83" s="3"/>
      <c r="X83" s="8">
        <f t="shared" si="18"/>
        <v>885.06999999999994</v>
      </c>
      <c r="Y83" s="3"/>
      <c r="Z83" s="7">
        <f t="shared" si="19"/>
        <v>3.5402799999999996</v>
      </c>
    </row>
    <row r="84" spans="1:26" s="70" customFormat="1" ht="15" hidden="1" customHeight="1" outlineLevel="2" x14ac:dyDescent="0.25">
      <c r="A84" s="25"/>
      <c r="B84" s="12" t="str">
        <f>CONCATENATE("          ","6241"," - ","OFFICE EXPENSE")</f>
        <v xml:space="preserve">          6241 - OFFICE EXPENSE</v>
      </c>
      <c r="C84" s="12"/>
      <c r="D84" s="8"/>
      <c r="E84" s="3"/>
      <c r="F84" s="7">
        <f t="shared" si="12"/>
        <v>0</v>
      </c>
      <c r="G84" s="3"/>
      <c r="H84" s="8"/>
      <c r="I84" s="3"/>
      <c r="J84" s="7">
        <f t="shared" si="13"/>
        <v>0</v>
      </c>
      <c r="K84" s="3"/>
      <c r="L84" s="8">
        <f t="shared" si="14"/>
        <v>0</v>
      </c>
      <c r="M84" s="3"/>
      <c r="N84" s="7">
        <f t="shared" si="15"/>
        <v>0</v>
      </c>
      <c r="O84" s="12"/>
      <c r="P84" s="8">
        <v>476.56</v>
      </c>
      <c r="Q84" s="3"/>
      <c r="R84" s="7">
        <f t="shared" si="16"/>
        <v>9.5701716530053682E-4</v>
      </c>
      <c r="S84" s="3"/>
      <c r="T84" s="8"/>
      <c r="U84" s="3"/>
      <c r="V84" s="7">
        <f t="shared" si="17"/>
        <v>0</v>
      </c>
      <c r="W84" s="3"/>
      <c r="X84" s="8">
        <f t="shared" si="18"/>
        <v>476.56</v>
      </c>
      <c r="Y84" s="3"/>
      <c r="Z84" s="7">
        <f t="shared" si="19"/>
        <v>0</v>
      </c>
    </row>
    <row r="85" spans="1:26" s="70" customFormat="1" ht="15" hidden="1" customHeight="1" outlineLevel="2" x14ac:dyDescent="0.25">
      <c r="A85" s="25"/>
      <c r="B85" s="12" t="str">
        <f>CONCATENATE("          ","6243"," - ","PAPER SUPPLIES")</f>
        <v xml:space="preserve">          6243 - PAPER SUPPLIES</v>
      </c>
      <c r="C85" s="12"/>
      <c r="D85" s="8">
        <v>677.12</v>
      </c>
      <c r="E85" s="3"/>
      <c r="F85" s="7">
        <f t="shared" si="12"/>
        <v>7.8352904202141985E-3</v>
      </c>
      <c r="G85" s="3"/>
      <c r="H85" s="8">
        <v>200</v>
      </c>
      <c r="I85" s="3"/>
      <c r="J85" s="7">
        <f t="shared" si="13"/>
        <v>4.6761748889408462E-3</v>
      </c>
      <c r="K85" s="3"/>
      <c r="L85" s="8">
        <f t="shared" si="14"/>
        <v>477.12</v>
      </c>
      <c r="M85" s="3"/>
      <c r="N85" s="7">
        <f t="shared" si="15"/>
        <v>2.3856000000000002</v>
      </c>
      <c r="O85" s="12"/>
      <c r="P85" s="8">
        <v>721.5</v>
      </c>
      <c r="Q85" s="3"/>
      <c r="R85" s="7">
        <f t="shared" si="16"/>
        <v>1.4489002114410302E-3</v>
      </c>
      <c r="S85" s="3"/>
      <c r="T85" s="8">
        <v>2000</v>
      </c>
      <c r="U85" s="3"/>
      <c r="V85" s="7">
        <f t="shared" si="17"/>
        <v>3.961305963349997E-3</v>
      </c>
      <c r="W85" s="3"/>
      <c r="X85" s="8">
        <f t="shared" si="18"/>
        <v>-1278.5</v>
      </c>
      <c r="Y85" s="3"/>
      <c r="Z85" s="7">
        <f t="shared" si="19"/>
        <v>-0.63924999999999998</v>
      </c>
    </row>
    <row r="86" spans="1:26" s="70" customFormat="1" ht="15" hidden="1" customHeight="1" outlineLevel="2" x14ac:dyDescent="0.25">
      <c r="A86" s="25"/>
      <c r="B86" s="12" t="str">
        <f>CONCATENATE("          ","6247"," - ","STORE SUPPLIES")</f>
        <v xml:space="preserve">          6247 - STORE SUPPLIES</v>
      </c>
      <c r="C86" s="12"/>
      <c r="D86" s="8">
        <v>-35.229999999999997</v>
      </c>
      <c r="E86" s="3"/>
      <c r="F86" s="7">
        <f t="shared" si="12"/>
        <v>-4.0766375458433686E-4</v>
      </c>
      <c r="G86" s="3"/>
      <c r="H86" s="8">
        <v>1450</v>
      </c>
      <c r="I86" s="3"/>
      <c r="J86" s="7">
        <f t="shared" si="13"/>
        <v>3.3902267944821138E-2</v>
      </c>
      <c r="K86" s="3"/>
      <c r="L86" s="8">
        <f t="shared" si="14"/>
        <v>-1485.23</v>
      </c>
      <c r="M86" s="3"/>
      <c r="N86" s="7">
        <f t="shared" si="15"/>
        <v>-1.024296551724138</v>
      </c>
      <c r="O86" s="12"/>
      <c r="P86" s="8">
        <v>2891.63</v>
      </c>
      <c r="Q86" s="3"/>
      <c r="R86" s="7">
        <f t="shared" si="16"/>
        <v>5.8069068862220737E-3</v>
      </c>
      <c r="S86" s="3"/>
      <c r="T86" s="8">
        <v>17300</v>
      </c>
      <c r="U86" s="3"/>
      <c r="V86" s="7">
        <f t="shared" si="17"/>
        <v>3.4265296582977479E-2</v>
      </c>
      <c r="W86" s="3"/>
      <c r="X86" s="8">
        <f t="shared" si="18"/>
        <v>-14408.369999999999</v>
      </c>
      <c r="Y86" s="3"/>
      <c r="Z86" s="7">
        <f t="shared" si="19"/>
        <v>-0.83285375722543342</v>
      </c>
    </row>
    <row r="87" spans="1:26" s="69" customFormat="1" ht="15" customHeight="1" outlineLevel="1" collapsed="1" x14ac:dyDescent="0.25">
      <c r="A87" s="26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SUM(OSRRefD22_15x_0)</f>
        <v>253.5</v>
      </c>
      <c r="E87" s="2"/>
      <c r="F87" s="6">
        <f t="shared" si="12"/>
        <v>2.9333738798503948E-3</v>
      </c>
      <c r="G87" s="2"/>
      <c r="H87" s="2">
        <f>SUM(OSRRefH22_15x_0)</f>
        <v>178</v>
      </c>
      <c r="I87" s="2"/>
      <c r="J87" s="6">
        <f t="shared" si="13"/>
        <v>4.1617956511573531E-3</v>
      </c>
      <c r="K87" s="2"/>
      <c r="L87" s="2">
        <f t="shared" si="14"/>
        <v>75.5</v>
      </c>
      <c r="M87" s="2"/>
      <c r="N87" s="6">
        <f t="shared" si="15"/>
        <v>0.4241573033707865</v>
      </c>
      <c r="O87" s="14"/>
      <c r="P87" s="2">
        <f>SUM(OSRRefP22_15x_0)</f>
        <v>1900</v>
      </c>
      <c r="Q87" s="2"/>
      <c r="R87" s="6">
        <f t="shared" si="16"/>
        <v>3.8155376323464412E-3</v>
      </c>
      <c r="S87" s="2"/>
      <c r="T87" s="2">
        <f>SUM(OSRRefT22_15x_0)</f>
        <v>1958</v>
      </c>
      <c r="U87" s="2"/>
      <c r="V87" s="6">
        <f t="shared" si="17"/>
        <v>3.8781185381196472E-3</v>
      </c>
      <c r="W87" s="2"/>
      <c r="X87" s="2">
        <f t="shared" si="18"/>
        <v>-58</v>
      </c>
      <c r="Y87" s="2"/>
      <c r="Z87" s="6">
        <f t="shared" si="19"/>
        <v>-2.9622063329928498E-2</v>
      </c>
    </row>
    <row r="88" spans="1:26" s="70" customFormat="1" ht="15" hidden="1" customHeight="1" outlineLevel="2" x14ac:dyDescent="0.25">
      <c r="A88" s="25"/>
      <c r="B88" s="12" t="str">
        <f>CONCATENATE("          ","6303"," - ","DATA PHONE LINES")</f>
        <v xml:space="preserve">          6303 - DATA PHONE LINES</v>
      </c>
      <c r="C88" s="12"/>
      <c r="D88" s="8"/>
      <c r="E88" s="3"/>
      <c r="F88" s="7">
        <f t="shared" si="12"/>
        <v>0</v>
      </c>
      <c r="G88" s="3"/>
      <c r="H88" s="8">
        <v>50</v>
      </c>
      <c r="I88" s="3"/>
      <c r="J88" s="7">
        <f t="shared" si="13"/>
        <v>1.1690437222352116E-3</v>
      </c>
      <c r="K88" s="3"/>
      <c r="L88" s="8">
        <f t="shared" si="14"/>
        <v>-50</v>
      </c>
      <c r="M88" s="3"/>
      <c r="N88" s="7">
        <f t="shared" si="15"/>
        <v>-1</v>
      </c>
      <c r="O88" s="12"/>
      <c r="P88" s="8"/>
      <c r="Q88" s="3"/>
      <c r="R88" s="7">
        <f t="shared" si="16"/>
        <v>0</v>
      </c>
      <c r="S88" s="3"/>
      <c r="T88" s="8">
        <v>550</v>
      </c>
      <c r="U88" s="3"/>
      <c r="V88" s="7">
        <f t="shared" si="17"/>
        <v>1.0893591399212493E-3</v>
      </c>
      <c r="W88" s="3"/>
      <c r="X88" s="8">
        <f t="shared" si="18"/>
        <v>-550</v>
      </c>
      <c r="Y88" s="3"/>
      <c r="Z88" s="7">
        <f t="shared" si="19"/>
        <v>-1</v>
      </c>
    </row>
    <row r="89" spans="1:26" s="70" customFormat="1" ht="15" hidden="1" customHeight="1" outlineLevel="2" x14ac:dyDescent="0.25">
      <c r="A89" s="25"/>
      <c r="B89" s="12" t="str">
        <f>CONCATENATE("          ","6309"," - ","TELEPHONE")</f>
        <v xml:space="preserve">          6309 - TELEPHONE</v>
      </c>
      <c r="C89" s="12"/>
      <c r="D89" s="8">
        <v>253.5</v>
      </c>
      <c r="E89" s="3"/>
      <c r="F89" s="7">
        <f t="shared" si="12"/>
        <v>2.9333738798503948E-3</v>
      </c>
      <c r="G89" s="3"/>
      <c r="H89" s="8">
        <v>128</v>
      </c>
      <c r="I89" s="3"/>
      <c r="J89" s="7">
        <f t="shared" si="13"/>
        <v>2.9927519289221416E-3</v>
      </c>
      <c r="K89" s="3"/>
      <c r="L89" s="8">
        <f t="shared" si="14"/>
        <v>125.5</v>
      </c>
      <c r="M89" s="3"/>
      <c r="N89" s="7">
        <f t="shared" si="15"/>
        <v>0.98046875</v>
      </c>
      <c r="O89" s="12"/>
      <c r="P89" s="8">
        <v>1900</v>
      </c>
      <c r="Q89" s="3"/>
      <c r="R89" s="7">
        <f t="shared" si="16"/>
        <v>3.8155376323464412E-3</v>
      </c>
      <c r="S89" s="3"/>
      <c r="T89" s="8">
        <v>1408</v>
      </c>
      <c r="U89" s="3"/>
      <c r="V89" s="7">
        <f t="shared" si="17"/>
        <v>2.7887593981983979E-3</v>
      </c>
      <c r="W89" s="3"/>
      <c r="X89" s="8">
        <f t="shared" si="18"/>
        <v>492</v>
      </c>
      <c r="Y89" s="3"/>
      <c r="Z89" s="7">
        <f t="shared" si="19"/>
        <v>0.34943181818181818</v>
      </c>
    </row>
    <row r="90" spans="1:26" s="69" customFormat="1" ht="15" customHeight="1" outlineLevel="1" collapsed="1" x14ac:dyDescent="0.25">
      <c r="A90" s="26"/>
      <c r="B90" s="14" t="str">
        <f>CONCATENATE("     ","Training                                          ")</f>
        <v xml:space="preserve">     Training                                          </v>
      </c>
      <c r="C90" s="14"/>
      <c r="D90" s="2">
        <f>SUM(OSRRefD22_16x_0)</f>
        <v>0</v>
      </c>
      <c r="E90" s="2"/>
      <c r="F90" s="6">
        <f t="shared" si="12"/>
        <v>0</v>
      </c>
      <c r="G90" s="2"/>
      <c r="H90" s="2">
        <f>SUM(OSRRefH22_16x_0)</f>
        <v>0</v>
      </c>
      <c r="I90" s="2"/>
      <c r="J90" s="6">
        <f t="shared" si="13"/>
        <v>0</v>
      </c>
      <c r="K90" s="2"/>
      <c r="L90" s="2">
        <f t="shared" si="14"/>
        <v>0</v>
      </c>
      <c r="M90" s="2"/>
      <c r="N90" s="6">
        <f t="shared" si="15"/>
        <v>0</v>
      </c>
      <c r="O90" s="14"/>
      <c r="P90" s="2">
        <f>SUM(OSRRefP22_16x_0)</f>
        <v>320</v>
      </c>
      <c r="Q90" s="2"/>
      <c r="R90" s="6">
        <f t="shared" si="16"/>
        <v>6.4261686439519002E-4</v>
      </c>
      <c r="S90" s="2"/>
      <c r="T90" s="2">
        <f>SUM(OSRRefT22_16x_0)</f>
        <v>150</v>
      </c>
      <c r="U90" s="2"/>
      <c r="V90" s="6">
        <f t="shared" si="17"/>
        <v>2.9709794725124979E-4</v>
      </c>
      <c r="W90" s="2"/>
      <c r="X90" s="2">
        <f t="shared" si="18"/>
        <v>170</v>
      </c>
      <c r="Y90" s="2"/>
      <c r="Z90" s="6">
        <f t="shared" si="19"/>
        <v>1.1333333333333333</v>
      </c>
    </row>
    <row r="91" spans="1:26" s="70" customFormat="1" ht="15" hidden="1" customHeight="1" outlineLevel="2" x14ac:dyDescent="0.25">
      <c r="A91" s="25"/>
      <c r="B91" s="12" t="str">
        <f>CONCATENATE("          ","6376"," - ","TRAINING")</f>
        <v xml:space="preserve">          6376 - TRAINING</v>
      </c>
      <c r="C91" s="12"/>
      <c r="D91" s="8"/>
      <c r="E91" s="3"/>
      <c r="F91" s="7">
        <f t="shared" si="12"/>
        <v>0</v>
      </c>
      <c r="G91" s="3"/>
      <c r="H91" s="8"/>
      <c r="I91" s="3"/>
      <c r="J91" s="7">
        <f t="shared" si="13"/>
        <v>0</v>
      </c>
      <c r="K91" s="3"/>
      <c r="L91" s="8">
        <f t="shared" si="14"/>
        <v>0</v>
      </c>
      <c r="M91" s="3"/>
      <c r="N91" s="7">
        <f t="shared" si="15"/>
        <v>0</v>
      </c>
      <c r="O91" s="12"/>
      <c r="P91" s="8">
        <v>320</v>
      </c>
      <c r="Q91" s="3"/>
      <c r="R91" s="7">
        <f t="shared" si="16"/>
        <v>6.4261686439519002E-4</v>
      </c>
      <c r="S91" s="3"/>
      <c r="T91" s="8">
        <v>150</v>
      </c>
      <c r="U91" s="3"/>
      <c r="V91" s="7">
        <f t="shared" si="17"/>
        <v>2.9709794725124979E-4</v>
      </c>
      <c r="W91" s="3"/>
      <c r="X91" s="8">
        <f t="shared" si="18"/>
        <v>170</v>
      </c>
      <c r="Y91" s="3"/>
      <c r="Z91" s="7">
        <f t="shared" si="19"/>
        <v>1.1333333333333333</v>
      </c>
    </row>
    <row r="92" spans="1:26" s="69" customFormat="1" ht="15" customHeight="1" outlineLevel="1" collapsed="1" x14ac:dyDescent="0.25">
      <c r="A92" s="26"/>
      <c r="B92" s="14" t="str">
        <f>CONCATENATE("     ","Utilities                                         ")</f>
        <v xml:space="preserve">     Utilities                                         </v>
      </c>
      <c r="C92" s="14"/>
      <c r="D92" s="2">
        <f>SUM(OSRRefD22_17x_0)</f>
        <v>242.98</v>
      </c>
      <c r="E92" s="2"/>
      <c r="F92" s="6">
        <f t="shared" si="12"/>
        <v>2.8116417567102519E-3</v>
      </c>
      <c r="G92" s="2"/>
      <c r="H92" s="2">
        <f>SUM(OSRRefH22_17x_0)</f>
        <v>0</v>
      </c>
      <c r="I92" s="2"/>
      <c r="J92" s="6">
        <f t="shared" si="13"/>
        <v>0</v>
      </c>
      <c r="K92" s="2"/>
      <c r="L92" s="2">
        <f t="shared" si="14"/>
        <v>242.98</v>
      </c>
      <c r="M92" s="2"/>
      <c r="N92" s="6">
        <f t="shared" si="15"/>
        <v>0</v>
      </c>
      <c r="O92" s="14"/>
      <c r="P92" s="2">
        <f>SUM(OSRRefP22_17x_0)</f>
        <v>1242.98</v>
      </c>
      <c r="Q92" s="2"/>
      <c r="R92" s="6">
        <f t="shared" si="16"/>
        <v>2.4961247190810418E-3</v>
      </c>
      <c r="S92" s="2"/>
      <c r="T92" s="2">
        <f>SUM(OSRRefT22_17x_0)</f>
        <v>0</v>
      </c>
      <c r="U92" s="2"/>
      <c r="V92" s="6">
        <f t="shared" si="17"/>
        <v>0</v>
      </c>
      <c r="W92" s="2"/>
      <c r="X92" s="2">
        <f t="shared" si="18"/>
        <v>1242.98</v>
      </c>
      <c r="Y92" s="2"/>
      <c r="Z92" s="6">
        <f t="shared" si="19"/>
        <v>0</v>
      </c>
    </row>
    <row r="93" spans="1:26" s="70" customFormat="1" ht="15" hidden="1" customHeight="1" outlineLevel="2" x14ac:dyDescent="0.25">
      <c r="A93" s="25"/>
      <c r="B93" s="12" t="str">
        <f>CONCATENATE("          ","6274"," - ","UTILITIES")</f>
        <v xml:space="preserve">          6274 - UTILITIES</v>
      </c>
      <c r="C93" s="12"/>
      <c r="D93" s="8">
        <v>242.98</v>
      </c>
      <c r="E93" s="3"/>
      <c r="F93" s="7">
        <f t="shared" si="12"/>
        <v>2.8116417567102519E-3</v>
      </c>
      <c r="G93" s="3"/>
      <c r="H93" s="8">
        <v>0</v>
      </c>
      <c r="I93" s="3"/>
      <c r="J93" s="7">
        <f t="shared" si="13"/>
        <v>0</v>
      </c>
      <c r="K93" s="3"/>
      <c r="L93" s="8">
        <f t="shared" si="14"/>
        <v>242.98</v>
      </c>
      <c r="M93" s="3"/>
      <c r="N93" s="7">
        <f t="shared" si="15"/>
        <v>0</v>
      </c>
      <c r="O93" s="12"/>
      <c r="P93" s="8">
        <v>1242.98</v>
      </c>
      <c r="Q93" s="3"/>
      <c r="R93" s="7">
        <f t="shared" si="16"/>
        <v>2.4961247190810418E-3</v>
      </c>
      <c r="S93" s="3"/>
      <c r="T93" s="8">
        <v>0</v>
      </c>
      <c r="U93" s="3"/>
      <c r="V93" s="7">
        <f t="shared" si="17"/>
        <v>0</v>
      </c>
      <c r="W93" s="3"/>
      <c r="X93" s="8">
        <f t="shared" si="18"/>
        <v>1242.98</v>
      </c>
      <c r="Y93" s="3"/>
      <c r="Z93" s="7">
        <f t="shared" si="19"/>
        <v>0</v>
      </c>
    </row>
    <row r="94" spans="1:26" s="65" customFormat="1" ht="15" customHeight="1" x14ac:dyDescent="0.25">
      <c r="A94" s="35"/>
      <c r="B94" s="35"/>
      <c r="C94" s="35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5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3" customFormat="1" ht="15" customHeight="1" x14ac:dyDescent="0.25">
      <c r="A95" s="11"/>
      <c r="B95" s="27" t="s">
        <v>291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292</v>
      </c>
      <c r="C97" s="28"/>
      <c r="D97" s="22">
        <f>+D25-D27+D95</f>
        <v>5485.1199999999881</v>
      </c>
      <c r="E97" s="15"/>
      <c r="F97" s="21">
        <f>IF(D$12=0,0,D97/D$12)</f>
        <v>6.3471036433313463E-2</v>
      </c>
      <c r="G97" s="15"/>
      <c r="H97" s="22">
        <f>+H25-H27+H95</f>
        <v>-11142.694589807688</v>
      </c>
      <c r="I97" s="15"/>
      <c r="J97" s="21">
        <f>IF(H$12=0,0,H97/H$12)</f>
        <v>-0.26052594317997868</v>
      </c>
      <c r="K97" s="16"/>
      <c r="L97" s="22">
        <f>+D97-H97</f>
        <v>16627.814589807676</v>
      </c>
      <c r="M97" s="16"/>
      <c r="N97" s="21">
        <f>IF(H97=0,0,L97/H97)</f>
        <v>-1.4922615401320674</v>
      </c>
      <c r="O97" s="27"/>
      <c r="P97" s="22">
        <f>+P25-P27+P95</f>
        <v>-98886.690000000119</v>
      </c>
      <c r="Q97" s="15"/>
      <c r="R97" s="21">
        <f>IF(P$12=0,0,P97/P$12)</f>
        <v>-0.19858204580693523</v>
      </c>
      <c r="S97" s="15"/>
      <c r="T97" s="22">
        <f>+T25-T27+T95</f>
        <v>-150804.66194894235</v>
      </c>
      <c r="U97" s="15"/>
      <c r="V97" s="21">
        <f>IF(T$12=0,0,T97/T$12)</f>
        <v>-0.29869170333966288</v>
      </c>
      <c r="W97" s="16"/>
      <c r="X97" s="22">
        <f>+P97-T97</f>
        <v>51917.971948942228</v>
      </c>
      <c r="Y97" s="16"/>
      <c r="Z97" s="21">
        <f>IF(T97=0,0,X97/T97)</f>
        <v>-0.34427299048964416</v>
      </c>
    </row>
    <row r="98" spans="1:26" ht="15" customHeight="1" x14ac:dyDescent="0.25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25">
      <c r="A99" s="49"/>
      <c r="B99" s="11" t="s">
        <v>293</v>
      </c>
      <c r="C99" s="11"/>
      <c r="D99" s="5">
        <v>9362.4</v>
      </c>
      <c r="E99" s="5"/>
      <c r="F99" s="13">
        <f>IF(D$12=0,0,D99/D$12)</f>
        <v>0.10833696099688889</v>
      </c>
      <c r="G99" s="5"/>
      <c r="H99" s="5">
        <v>5739</v>
      </c>
      <c r="I99" s="5"/>
      <c r="J99" s="13">
        <f>IF(H$12=0,0,H99/H$12)</f>
        <v>0.13418283843815759</v>
      </c>
      <c r="K99" s="5"/>
      <c r="L99" s="5">
        <f>+D99-H99</f>
        <v>3623.3999999999996</v>
      </c>
      <c r="M99" s="5"/>
      <c r="N99" s="13">
        <f>IF(H99=0,0,L99/H99)</f>
        <v>0.63136434918975426</v>
      </c>
      <c r="O99" s="11"/>
      <c r="P99" s="5">
        <v>55983.77</v>
      </c>
      <c r="Q99" s="5"/>
      <c r="R99" s="13">
        <f>IF(P$12=0,0,P99/P$12)</f>
        <v>0.11242535854506722</v>
      </c>
      <c r="S99" s="5"/>
      <c r="T99" s="5">
        <v>62585</v>
      </c>
      <c r="U99" s="5"/>
      <c r="V99" s="13">
        <f>IF(T$12=0,0,T99/T$12)</f>
        <v>0.12395916685812979</v>
      </c>
      <c r="W99" s="5"/>
      <c r="X99" s="5">
        <f>+P99-T99</f>
        <v>-6601.2300000000032</v>
      </c>
      <c r="Y99" s="5"/>
      <c r="Z99" s="13">
        <f>IF(T99=0,0,X99/T99)</f>
        <v>-0.10547623232403935</v>
      </c>
    </row>
    <row r="100" spans="1:26" ht="15" customHeight="1" x14ac:dyDescent="0.25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25">
      <c r="A101" s="11"/>
      <c r="B101" s="28" t="s">
        <v>294</v>
      </c>
      <c r="C101" s="28"/>
      <c r="D101" s="34">
        <f>+D97-D99</f>
        <v>-3877.2800000000116</v>
      </c>
      <c r="E101" s="15"/>
      <c r="F101" s="32">
        <f>IF(D$12=0,0,D101/D$12)</f>
        <v>-4.4865924563575431E-2</v>
      </c>
      <c r="G101" s="15"/>
      <c r="H101" s="34">
        <f>+H97-H99</f>
        <v>-16881.694589807688</v>
      </c>
      <c r="I101" s="15"/>
      <c r="J101" s="32">
        <f>IF(H$12=0,0,H101/H$12)</f>
        <v>-0.39470878161813627</v>
      </c>
      <c r="K101" s="16"/>
      <c r="L101" s="34">
        <f>D101-H101</f>
        <v>13004.414589807677</v>
      </c>
      <c r="M101" s="16"/>
      <c r="N101" s="32">
        <f>IF(H101=0,0,L101/H101)</f>
        <v>-0.77032637456070807</v>
      </c>
      <c r="O101" s="27"/>
      <c r="P101" s="34">
        <f>+P97-P99</f>
        <v>-154870.46000000011</v>
      </c>
      <c r="Q101" s="15"/>
      <c r="R101" s="32">
        <f>IF(P$12=0,0,P101/P$12)</f>
        <v>-0.31100740435200241</v>
      </c>
      <c r="S101" s="15"/>
      <c r="T101" s="34">
        <f>+T97-T99</f>
        <v>-213389.66194894235</v>
      </c>
      <c r="U101" s="15"/>
      <c r="V101" s="32">
        <f>IF(T$12=0,0,T101/T$12)</f>
        <v>-0.42265087019779263</v>
      </c>
      <c r="W101" s="16"/>
      <c r="X101" s="34">
        <f>P101-T101</f>
        <v>58519.201948942238</v>
      </c>
      <c r="Y101" s="16"/>
      <c r="Z101" s="32">
        <f>IF(T101=0,0,X101/T101)</f>
        <v>-0.27423634966413746</v>
      </c>
    </row>
    <row r="102" spans="1:26" ht="15" customHeight="1" x14ac:dyDescent="0.25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25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25">
      <c r="A104" s="11"/>
      <c r="B104" s="28" t="s">
        <v>297</v>
      </c>
      <c r="C104" s="28"/>
      <c r="D104" s="30">
        <f>SUM(D101:D103)</f>
        <v>-3877.2800000000116</v>
      </c>
      <c r="E104" s="15"/>
      <c r="F104" s="33">
        <f>IF(D$12=0,0,D104/D$12)</f>
        <v>-4.4865924563575431E-2</v>
      </c>
      <c r="G104" s="15"/>
      <c r="H104" s="30">
        <f>SUM(H101:H103)</f>
        <v>-16881.694589807688</v>
      </c>
      <c r="I104" s="15"/>
      <c r="J104" s="33">
        <f>IF(H$12=0,0,H104/H$12)</f>
        <v>-0.39470878161813627</v>
      </c>
      <c r="K104" s="16"/>
      <c r="L104" s="30">
        <f>+D104-H104</f>
        <v>13004.414589807677</v>
      </c>
      <c r="M104" s="16"/>
      <c r="N104" s="33">
        <f>IF(H104=0,0,L104/H104)</f>
        <v>-0.77032637456070807</v>
      </c>
      <c r="O104" s="27"/>
      <c r="P104" s="30">
        <f>SUM(P101:P103)</f>
        <v>-154870.46000000011</v>
      </c>
      <c r="Q104" s="15"/>
      <c r="R104" s="33">
        <f>IF(P$12=0,0,P104/P$12)</f>
        <v>-0.31100740435200241</v>
      </c>
      <c r="S104" s="15"/>
      <c r="T104" s="30">
        <f>SUM(T101:T103)</f>
        <v>-213389.66194894235</v>
      </c>
      <c r="U104" s="15"/>
      <c r="V104" s="33">
        <f>IF(T$12=0,0,T104/T$12)</f>
        <v>-0.42265087019779263</v>
      </c>
      <c r="W104" s="16"/>
      <c r="X104" s="30">
        <f>+P104-T104</f>
        <v>58519.201948942238</v>
      </c>
      <c r="Y104" s="16"/>
      <c r="Z104" s="33">
        <f>IF(T104=0,0,X104/T104)</f>
        <v>-0.27423634966413746</v>
      </c>
    </row>
    <row r="105" spans="1:26" ht="15" customHeight="1" x14ac:dyDescent="0.25">
      <c r="A105" s="10"/>
      <c r="C105" s="10"/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  <row r="106" spans="1:26" ht="15" customHeight="1" x14ac:dyDescent="0.25">
      <c r="A106" s="10"/>
      <c r="B106" s="54">
        <v>44727.874479513892</v>
      </c>
      <c r="D106" s="18"/>
      <c r="E106" s="18"/>
      <c r="G106" s="18"/>
      <c r="H106" s="18"/>
      <c r="I106" s="18"/>
      <c r="J106" s="40"/>
      <c r="K106" s="18"/>
      <c r="L106" s="18"/>
      <c r="M106" s="18"/>
      <c r="P106" s="18"/>
      <c r="Q106" s="18"/>
      <c r="R106" s="40"/>
      <c r="S106" s="18"/>
      <c r="T106" s="18"/>
      <c r="U106" s="18"/>
      <c r="V106" s="40"/>
      <c r="W106" s="18"/>
      <c r="X106" s="18"/>
    </row>
    <row r="107" spans="1:26" ht="15" customHeight="1" x14ac:dyDescent="0.25">
      <c r="A107" s="10"/>
      <c r="B107" s="50" t="s">
        <v>298</v>
      </c>
      <c r="D107" s="18"/>
      <c r="E107" s="18"/>
      <c r="G107" s="18"/>
      <c r="H107" s="18"/>
      <c r="I107" s="18"/>
      <c r="J107" s="40"/>
      <c r="K107" s="18"/>
      <c r="L107" s="18"/>
      <c r="M107" s="18"/>
      <c r="P107" s="18"/>
      <c r="Q107" s="18"/>
      <c r="R107" s="40"/>
      <c r="S107" s="18"/>
      <c r="T107" s="18"/>
      <c r="U107" s="18"/>
      <c r="V107" s="40"/>
      <c r="W107" s="18"/>
      <c r="X107" s="18"/>
    </row>
    <row r="108" spans="1:26" ht="15" customHeight="1" x14ac:dyDescent="0.25">
      <c r="A108" s="10"/>
      <c r="B108" s="58"/>
      <c r="D108" s="18"/>
      <c r="E108" s="18"/>
      <c r="G108" s="18"/>
      <c r="H108" s="18"/>
      <c r="I108" s="18"/>
      <c r="J108" s="40"/>
      <c r="K108" s="18"/>
      <c r="L108" s="18"/>
      <c r="M108" s="18"/>
      <c r="P108" s="18"/>
      <c r="Q108" s="18"/>
      <c r="R108" s="40"/>
      <c r="S108" s="18"/>
      <c r="T108" s="18"/>
      <c r="U108" s="18"/>
      <c r="V108" s="40"/>
      <c r="W108" s="18"/>
      <c r="X108" s="18"/>
    </row>
    <row r="109" spans="1:26" ht="15" customHeight="1" x14ac:dyDescent="0.25">
      <c r="D109" s="18"/>
      <c r="E109" s="18"/>
      <c r="G109" s="18"/>
      <c r="H109" s="18"/>
      <c r="I109" s="18"/>
      <c r="J109" s="40"/>
      <c r="K109" s="18"/>
      <c r="L109" s="18"/>
      <c r="M109" s="18"/>
      <c r="P109" s="18"/>
      <c r="Q109" s="18"/>
      <c r="R109" s="40"/>
      <c r="S109" s="18"/>
      <c r="T109" s="18"/>
      <c r="U109" s="18"/>
      <c r="V109" s="40"/>
      <c r="W109" s="18"/>
      <c r="X10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2D47C-6AB4-F7DC-BA18-3A3DD25CECE2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","309"," - ","Carts")</f>
        <v>Department 309 - Carts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9881.2000000000007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9881.2000000000007</v>
      </c>
      <c r="M12" s="5"/>
      <c r="N12" s="13">
        <f>IF(H12=0,0,L12/H12)</f>
        <v>0</v>
      </c>
      <c r="O12" s="11"/>
      <c r="P12" s="5">
        <f>SUM(OSRRefP13x_0)</f>
        <v>92376.910000000018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92376.910000000018</v>
      </c>
      <c r="Y12" s="5"/>
      <c r="Z12" s="13">
        <f>IF(T12=0,0,X12/T12)</f>
        <v>0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--1869.07</f>
        <v>1869.07</v>
      </c>
      <c r="E13" s="3"/>
      <c r="F13" s="20"/>
      <c r="G13" s="3"/>
      <c r="H13" s="3"/>
      <c r="I13" s="3"/>
      <c r="J13" s="20"/>
      <c r="K13" s="3"/>
      <c r="L13" s="3">
        <f>+D13-H13</f>
        <v>1869.07</v>
      </c>
      <c r="M13" s="3"/>
      <c r="N13" s="20">
        <f>IF(H13=0,0,L13/H13)</f>
        <v>0</v>
      </c>
      <c r="O13" s="12"/>
      <c r="P13" s="3">
        <f>--14961.18</f>
        <v>14961.18</v>
      </c>
      <c r="Q13" s="3"/>
      <c r="R13" s="20"/>
      <c r="S13" s="3"/>
      <c r="T13" s="3"/>
      <c r="U13" s="3"/>
      <c r="V13" s="20"/>
      <c r="W13" s="3"/>
      <c r="X13" s="3">
        <f>+P13-T13</f>
        <v>14961.18</v>
      </c>
      <c r="Y13" s="3"/>
      <c r="Z13" s="20">
        <f>IF(T13=0,0,X13/T13)</f>
        <v>0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70" customFormat="1" ht="15" hidden="1" customHeight="1" outlineLevel="1" x14ac:dyDescent="0.25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--8012.13</f>
        <v>8012.13</v>
      </c>
      <c r="E15" s="3"/>
      <c r="F15" s="20"/>
      <c r="G15" s="3"/>
      <c r="H15" s="3"/>
      <c r="I15" s="3"/>
      <c r="J15" s="20"/>
      <c r="K15" s="3"/>
      <c r="L15" s="3">
        <f>+D15-H15</f>
        <v>8012.13</v>
      </c>
      <c r="M15" s="3"/>
      <c r="N15" s="20">
        <f>IF(H15=0,0,L15/H15)</f>
        <v>0</v>
      </c>
      <c r="O15" s="12"/>
      <c r="P15" s="3">
        <f>--77184.24</f>
        <v>77184.240000000005</v>
      </c>
      <c r="Q15" s="3"/>
      <c r="R15" s="20"/>
      <c r="S15" s="3"/>
      <c r="T15" s="3"/>
      <c r="U15" s="3"/>
      <c r="V15" s="20"/>
      <c r="W15" s="3"/>
      <c r="X15" s="3">
        <f>+P15-T15</f>
        <v>77184.240000000005</v>
      </c>
      <c r="Y15" s="3"/>
      <c r="Z15" s="20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/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4014.79</v>
      </c>
      <c r="E18" s="5"/>
      <c r="F18" s="13">
        <f>IF(D$12=0,0,D18/D$12)</f>
        <v>0.4063059142614257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4014.79</v>
      </c>
      <c r="M18" s="5"/>
      <c r="N18" s="13">
        <f>IF(H18=0,0,L18/H18)</f>
        <v>0</v>
      </c>
      <c r="O18" s="11"/>
      <c r="P18" s="5">
        <f>SUM(OSRRefP16x_0)</f>
        <v>40972.97</v>
      </c>
      <c r="Q18" s="5"/>
      <c r="R18" s="13">
        <f>IF(P$12=0,0,P18/P$12)</f>
        <v>0.44354124856525284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40972.97</v>
      </c>
      <c r="Y18" s="5"/>
      <c r="Z18" s="13">
        <f>IF(T18=0,0,X18/T18)</f>
        <v>0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70" customFormat="1" ht="15" hidden="1" customHeight="1" outlineLevel="1" x14ac:dyDescent="0.25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4014.79</v>
      </c>
      <c r="E20" s="3"/>
      <c r="F20" s="20">
        <f>IF(D$12=0,0,D20/D$12)</f>
        <v>0.4063059142614257</v>
      </c>
      <c r="G20" s="3"/>
      <c r="H20" s="3"/>
      <c r="I20" s="3"/>
      <c r="J20" s="20">
        <f>IF(H$12=0,0,H20/H$12)</f>
        <v>0</v>
      </c>
      <c r="K20" s="3"/>
      <c r="L20" s="3">
        <f>+D20-H20</f>
        <v>4014.79</v>
      </c>
      <c r="M20" s="3"/>
      <c r="N20" s="20">
        <f>IF(H20=0,0,L20/H20)</f>
        <v>0</v>
      </c>
      <c r="O20" s="12"/>
      <c r="P20" s="3">
        <v>40972.97</v>
      </c>
      <c r="Q20" s="3"/>
      <c r="R20" s="20">
        <f>IF(P$12=0,0,P20/P$12)</f>
        <v>0.44354124856525284</v>
      </c>
      <c r="S20" s="3"/>
      <c r="T20" s="3"/>
      <c r="U20" s="3"/>
      <c r="V20" s="20">
        <f>IF(T$12=0,0,T20/T$12)</f>
        <v>0</v>
      </c>
      <c r="W20" s="3"/>
      <c r="X20" s="3">
        <f>+P20-T20</f>
        <v>40972.97</v>
      </c>
      <c r="Y20" s="3"/>
      <c r="Z20" s="20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25">
      <c r="A22" s="11"/>
      <c r="B22" s="28" t="s">
        <v>289</v>
      </c>
      <c r="C22" s="28"/>
      <c r="D22" s="22">
        <f>D12-D18</f>
        <v>5866.4100000000008</v>
      </c>
      <c r="E22" s="15"/>
      <c r="F22" s="21">
        <f>IF(D$12=0,0,D22/D$12)</f>
        <v>0.5936940857385743</v>
      </c>
      <c r="G22" s="15"/>
      <c r="H22" s="22">
        <f>H12-H18</f>
        <v>0</v>
      </c>
      <c r="I22" s="15"/>
      <c r="J22" s="21">
        <f>IF(H$12=0,0,H22/H$12)</f>
        <v>0</v>
      </c>
      <c r="K22" s="16"/>
      <c r="L22" s="22">
        <f>+D22-H22</f>
        <v>5866.4100000000008</v>
      </c>
      <c r="M22" s="16"/>
      <c r="N22" s="21">
        <f>IF(H22=0,0,L22/H22)</f>
        <v>0</v>
      </c>
      <c r="O22" s="27"/>
      <c r="P22" s="22">
        <f>P12-P18</f>
        <v>51403.940000000017</v>
      </c>
      <c r="Q22" s="15"/>
      <c r="R22" s="21">
        <f>IF(P$12=0,0,P22/P$12)</f>
        <v>0.5564587514347471</v>
      </c>
      <c r="S22" s="15"/>
      <c r="T22" s="22">
        <f>T12-T18</f>
        <v>0</v>
      </c>
      <c r="U22" s="15"/>
      <c r="V22" s="21">
        <f>IF(T$12=0,0,T22/T$12)</f>
        <v>0</v>
      </c>
      <c r="W22" s="16"/>
      <c r="X22" s="22">
        <f>+P22-T22</f>
        <v>51403.940000000017</v>
      </c>
      <c r="Y22" s="16"/>
      <c r="Z22" s="21">
        <f>IF(T22=0,0,X22/T22)</f>
        <v>0</v>
      </c>
    </row>
    <row r="23" spans="1:26" ht="15" customHeight="1" x14ac:dyDescent="0.25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25">
      <c r="A24" s="11"/>
      <c r="B24" s="27" t="s">
        <v>290</v>
      </c>
      <c r="C24" s="11"/>
      <c r="D24" s="23" cm="1">
        <f t="array" ref="D24">SUM(OSRRefD22x_0)</f>
        <v>4570.9399999999996</v>
      </c>
      <c r="E24" s="23"/>
      <c r="F24" s="31">
        <f t="shared" ref="F24:F55" si="0">IF(D$12=0,0,D24/D$12)</f>
        <v>0.46258956402056423</v>
      </c>
      <c r="G24" s="23"/>
      <c r="H24" s="23" cm="1">
        <f t="array" ref="H24">SUM(OSRRefH22x_0)</f>
        <v>588</v>
      </c>
      <c r="I24" s="23"/>
      <c r="J24" s="31">
        <f t="shared" ref="J24:J55" si="1">IF(H$12=0,0,H24/H$12)</f>
        <v>0</v>
      </c>
      <c r="K24" s="5"/>
      <c r="L24" s="23">
        <f t="shared" ref="L24:L55" si="2">+D24-H24</f>
        <v>3982.9399999999996</v>
      </c>
      <c r="M24" s="5"/>
      <c r="N24" s="31">
        <f t="shared" ref="N24:N55" si="3">IF(H24=0,0,L24/H24)</f>
        <v>6.7737074829931965</v>
      </c>
      <c r="O24" s="11"/>
      <c r="P24" s="23" cm="1">
        <f t="array" ref="P24">SUM(OSRRefP22x_0)</f>
        <v>36506.81</v>
      </c>
      <c r="Q24" s="23"/>
      <c r="R24" s="31">
        <f t="shared" ref="R24:R55" si="4">IF(P$12=0,0,P24/P$12)</f>
        <v>0.39519410207594075</v>
      </c>
      <c r="S24" s="23"/>
      <c r="T24" s="23" cm="1">
        <f t="array" ref="T24">SUM(OSRRefT22x_0)</f>
        <v>6468</v>
      </c>
      <c r="U24" s="23"/>
      <c r="V24" s="31">
        <f t="shared" ref="V24:V55" si="5">IF(T$12=0,0,T24/T$12)</f>
        <v>0</v>
      </c>
      <c r="W24" s="5"/>
      <c r="X24" s="23">
        <f t="shared" ref="X24:X55" si="6">+P24-T24</f>
        <v>30038.809999999998</v>
      </c>
      <c r="Y24" s="5"/>
      <c r="Z24" s="31">
        <f t="shared" ref="Z24:Z55" si="7">IF(T24=0,0,X24/T24)</f>
        <v>4.6442192331478038</v>
      </c>
    </row>
    <row r="25" spans="1:26" s="69" customFormat="1" ht="15" customHeight="1" outlineLevel="1" collapsed="1" x14ac:dyDescent="0.25">
      <c r="A25" s="26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100.27000000000001</v>
      </c>
      <c r="E25" s="2"/>
      <c r="F25" s="6">
        <f t="shared" si="0"/>
        <v>1.0147552928794074E-2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100.27000000000001</v>
      </c>
      <c r="M25" s="2"/>
      <c r="N25" s="6">
        <f t="shared" si="3"/>
        <v>0</v>
      </c>
      <c r="O25" s="14"/>
      <c r="P25" s="2">
        <f>SUM(OSRRefP22_0x_0)</f>
        <v>332.97</v>
      </c>
      <c r="Q25" s="2"/>
      <c r="R25" s="6">
        <f t="shared" si="4"/>
        <v>3.6044721565161681E-3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332.97</v>
      </c>
      <c r="Y25" s="2"/>
      <c r="Z25" s="6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8">
        <v>85.29</v>
      </c>
      <c r="E26" s="3"/>
      <c r="F26" s="7">
        <f t="shared" si="0"/>
        <v>8.6315427276039344E-3</v>
      </c>
      <c r="G26" s="3"/>
      <c r="H26" s="8"/>
      <c r="I26" s="3"/>
      <c r="J26" s="7">
        <f t="shared" si="1"/>
        <v>0</v>
      </c>
      <c r="K26" s="3"/>
      <c r="L26" s="8">
        <f t="shared" si="2"/>
        <v>85.29</v>
      </c>
      <c r="M26" s="3"/>
      <c r="N26" s="7">
        <f t="shared" si="3"/>
        <v>0</v>
      </c>
      <c r="O26" s="12"/>
      <c r="P26" s="8">
        <v>283.22000000000003</v>
      </c>
      <c r="Q26" s="3"/>
      <c r="R26" s="7">
        <f t="shared" si="4"/>
        <v>3.0659176627579336E-3</v>
      </c>
      <c r="S26" s="3"/>
      <c r="T26" s="8"/>
      <c r="U26" s="3"/>
      <c r="V26" s="7">
        <f t="shared" si="5"/>
        <v>0</v>
      </c>
      <c r="W26" s="3"/>
      <c r="X26" s="8">
        <f t="shared" si="6"/>
        <v>283.22000000000003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14.98</v>
      </c>
      <c r="E27" s="3"/>
      <c r="F27" s="7">
        <f t="shared" si="0"/>
        <v>1.5160102011901387E-3</v>
      </c>
      <c r="G27" s="3"/>
      <c r="H27" s="8"/>
      <c r="I27" s="3"/>
      <c r="J27" s="7">
        <f t="shared" si="1"/>
        <v>0</v>
      </c>
      <c r="K27" s="3"/>
      <c r="L27" s="8">
        <f t="shared" si="2"/>
        <v>14.98</v>
      </c>
      <c r="M27" s="3"/>
      <c r="N27" s="7">
        <f t="shared" si="3"/>
        <v>0</v>
      </c>
      <c r="O27" s="12"/>
      <c r="P27" s="8">
        <v>49.75</v>
      </c>
      <c r="Q27" s="3"/>
      <c r="R27" s="7">
        <f t="shared" si="4"/>
        <v>5.385544937582345E-4</v>
      </c>
      <c r="S27" s="3"/>
      <c r="T27" s="8"/>
      <c r="U27" s="3"/>
      <c r="V27" s="7">
        <f t="shared" si="5"/>
        <v>0</v>
      </c>
      <c r="W27" s="3"/>
      <c r="X27" s="8">
        <f t="shared" si="6"/>
        <v>49.75</v>
      </c>
      <c r="Y27" s="3"/>
      <c r="Z27" s="7">
        <f t="shared" si="7"/>
        <v>0</v>
      </c>
    </row>
    <row r="28" spans="1:26" s="69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3036.9700000000003</v>
      </c>
      <c r="E28" s="2"/>
      <c r="F28" s="6">
        <f t="shared" si="0"/>
        <v>0.30734829777759787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3036.9700000000003</v>
      </c>
      <c r="M28" s="2"/>
      <c r="N28" s="6">
        <f t="shared" si="3"/>
        <v>0</v>
      </c>
      <c r="O28" s="14"/>
      <c r="P28" s="2">
        <f>SUM(OSRRefP22_1x_0)</f>
        <v>18983.25</v>
      </c>
      <c r="Q28" s="2"/>
      <c r="R28" s="6">
        <f t="shared" si="4"/>
        <v>0.20549778077660311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18983.25</v>
      </c>
      <c r="Y28" s="2"/>
      <c r="Z28" s="6">
        <f t="shared" si="7"/>
        <v>0</v>
      </c>
    </row>
    <row r="29" spans="1:26" s="70" customFormat="1" ht="15" hidden="1" customHeight="1" outlineLevel="2" x14ac:dyDescent="0.25">
      <c r="A29" s="25"/>
      <c r="B29" s="12" t="str">
        <f>CONCATENATE("          ","6007"," - ","STUDENT HOURLY")</f>
        <v xml:space="preserve">          6007 - STUDENT HOURLY</v>
      </c>
      <c r="C29" s="12"/>
      <c r="D29" s="8">
        <v>1899.82</v>
      </c>
      <c r="E29" s="3"/>
      <c r="F29" s="7">
        <f t="shared" si="0"/>
        <v>0.19226612152370157</v>
      </c>
      <c r="G29" s="3"/>
      <c r="H29" s="8"/>
      <c r="I29" s="3"/>
      <c r="J29" s="7">
        <f t="shared" si="1"/>
        <v>0</v>
      </c>
      <c r="K29" s="3"/>
      <c r="L29" s="8">
        <f t="shared" si="2"/>
        <v>1899.82</v>
      </c>
      <c r="M29" s="3"/>
      <c r="N29" s="7">
        <f t="shared" si="3"/>
        <v>0</v>
      </c>
      <c r="O29" s="12"/>
      <c r="P29" s="8">
        <v>11956.84</v>
      </c>
      <c r="Q29" s="3"/>
      <c r="R29" s="7">
        <f t="shared" si="4"/>
        <v>0.12943537513865747</v>
      </c>
      <c r="S29" s="3"/>
      <c r="T29" s="8"/>
      <c r="U29" s="3"/>
      <c r="V29" s="7">
        <f t="shared" si="5"/>
        <v>0</v>
      </c>
      <c r="W29" s="3"/>
      <c r="X29" s="8">
        <f t="shared" si="6"/>
        <v>11956.84</v>
      </c>
      <c r="Y29" s="3"/>
      <c r="Z29" s="7">
        <f t="shared" si="7"/>
        <v>0</v>
      </c>
    </row>
    <row r="30" spans="1:26" s="70" customFormat="1" ht="15" hidden="1" customHeight="1" outlineLevel="2" x14ac:dyDescent="0.25">
      <c r="A30" s="25"/>
      <c r="B30" s="12" t="str">
        <f>CONCATENATE("          ","6008"," - ","STUDENT HOURLY-FICA EXEMPT")</f>
        <v xml:space="preserve">          6008 - STUDENT HOURLY-FICA EXEMPT</v>
      </c>
      <c r="C30" s="12"/>
      <c r="D30" s="8">
        <v>1137.1500000000001</v>
      </c>
      <c r="E30" s="3"/>
      <c r="F30" s="7">
        <f t="shared" si="0"/>
        <v>0.11508217625389629</v>
      </c>
      <c r="G30" s="3"/>
      <c r="H30" s="8"/>
      <c r="I30" s="3"/>
      <c r="J30" s="7">
        <f t="shared" si="1"/>
        <v>0</v>
      </c>
      <c r="K30" s="3"/>
      <c r="L30" s="8">
        <f t="shared" si="2"/>
        <v>1137.1500000000001</v>
      </c>
      <c r="M30" s="3"/>
      <c r="N30" s="7">
        <f t="shared" si="3"/>
        <v>0</v>
      </c>
      <c r="O30" s="12"/>
      <c r="P30" s="8">
        <v>7026.41</v>
      </c>
      <c r="Q30" s="3"/>
      <c r="R30" s="7">
        <f t="shared" si="4"/>
        <v>7.6062405637945654E-2</v>
      </c>
      <c r="S30" s="3"/>
      <c r="T30" s="8"/>
      <c r="U30" s="3"/>
      <c r="V30" s="7">
        <f t="shared" si="5"/>
        <v>0</v>
      </c>
      <c r="W30" s="3"/>
      <c r="X30" s="8">
        <f t="shared" si="6"/>
        <v>7026.41</v>
      </c>
      <c r="Y30" s="3"/>
      <c r="Z30" s="7">
        <f t="shared" si="7"/>
        <v>0</v>
      </c>
    </row>
    <row r="31" spans="1:26" s="69" customFormat="1" ht="15" customHeight="1" outlineLevel="1" collapsed="1" x14ac:dyDescent="0.25">
      <c r="A31" s="26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0</v>
      </c>
      <c r="E31" s="2"/>
      <c r="F31" s="6">
        <f t="shared" si="0"/>
        <v>0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SUM(OSRRefP22_2x_0)</f>
        <v>46.31</v>
      </c>
      <c r="Q31" s="2"/>
      <c r="R31" s="6">
        <f t="shared" si="4"/>
        <v>5.0131575087324304E-4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46.31</v>
      </c>
      <c r="Y31" s="2"/>
      <c r="Z31" s="6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","6362"," - ","ADVERTISING EXPENSE")</f>
        <v xml:space="preserve">          6362 - ADVERTISING EXPENSE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46.31</v>
      </c>
      <c r="Q32" s="3"/>
      <c r="R32" s="7">
        <f t="shared" si="4"/>
        <v>5.0131575087324304E-4</v>
      </c>
      <c r="S32" s="3"/>
      <c r="T32" s="8"/>
      <c r="U32" s="3"/>
      <c r="V32" s="7">
        <f t="shared" si="5"/>
        <v>0</v>
      </c>
      <c r="W32" s="3"/>
      <c r="X32" s="8">
        <f t="shared" si="6"/>
        <v>46.31</v>
      </c>
      <c r="Y32" s="3"/>
      <c r="Z32" s="7">
        <f t="shared" si="7"/>
        <v>0</v>
      </c>
    </row>
    <row r="33" spans="1:26" s="69" customFormat="1" ht="15" customHeight="1" outlineLevel="1" collapsed="1" x14ac:dyDescent="0.25">
      <c r="A33" s="26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0</v>
      </c>
      <c r="E33" s="2"/>
      <c r="F33" s="6">
        <f t="shared" si="0"/>
        <v>0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0</v>
      </c>
      <c r="M33" s="2"/>
      <c r="N33" s="6">
        <f t="shared" si="3"/>
        <v>0</v>
      </c>
      <c r="O33" s="14"/>
      <c r="P33" s="2">
        <f>SUM(OSRRefP22_3x_0)</f>
        <v>-2.98</v>
      </c>
      <c r="Q33" s="2"/>
      <c r="R33" s="6">
        <f t="shared" si="4"/>
        <v>-3.2259143545719376E-5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-2.98</v>
      </c>
      <c r="Y33" s="2"/>
      <c r="Z33" s="6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","6272"," - ","CASH (OVER/SHORT)")</f>
        <v xml:space="preserve">          6272 - CASH (OVER/SHORT)</v>
      </c>
      <c r="C34" s="12"/>
      <c r="D34" s="8"/>
      <c r="E34" s="3"/>
      <c r="F34" s="7">
        <f t="shared" si="0"/>
        <v>0</v>
      </c>
      <c r="G34" s="3"/>
      <c r="H34" s="8"/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>
        <v>-2.98</v>
      </c>
      <c r="Q34" s="3"/>
      <c r="R34" s="7">
        <f t="shared" si="4"/>
        <v>-3.2259143545719376E-5</v>
      </c>
      <c r="S34" s="3"/>
      <c r="T34" s="8"/>
      <c r="U34" s="3"/>
      <c r="V34" s="7">
        <f t="shared" si="5"/>
        <v>0</v>
      </c>
      <c r="W34" s="3"/>
      <c r="X34" s="8">
        <f t="shared" si="6"/>
        <v>-2.98</v>
      </c>
      <c r="Y34" s="3"/>
      <c r="Z34" s="7">
        <f t="shared" si="7"/>
        <v>0</v>
      </c>
    </row>
    <row r="35" spans="1:26" s="69" customFormat="1" ht="15" customHeight="1" outlineLevel="1" collapsed="1" x14ac:dyDescent="0.25">
      <c r="A35" s="26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462.38</v>
      </c>
      <c r="E35" s="2"/>
      <c r="F35" s="6">
        <f t="shared" si="0"/>
        <v>4.6793911670647288E-2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462.38</v>
      </c>
      <c r="M35" s="2"/>
      <c r="N35" s="6">
        <f t="shared" si="3"/>
        <v>0</v>
      </c>
      <c r="O35" s="14"/>
      <c r="P35" s="2">
        <f>SUM(OSRRefP22_4x_0)</f>
        <v>4696.79</v>
      </c>
      <c r="Q35" s="2"/>
      <c r="R35" s="6">
        <f t="shared" si="4"/>
        <v>5.0843766044999759E-2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4696.79</v>
      </c>
      <c r="Y35" s="2"/>
      <c r="Z35" s="6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","6381"," - ","BANK/CREDIT CARD FEES")</f>
        <v xml:space="preserve">          6381 - BANK/CREDIT CARD FEES</v>
      </c>
      <c r="C36" s="12"/>
      <c r="D36" s="8">
        <v>462.38</v>
      </c>
      <c r="E36" s="3"/>
      <c r="F36" s="7">
        <f t="shared" si="0"/>
        <v>4.6793911670647288E-2</v>
      </c>
      <c r="G36" s="3"/>
      <c r="H36" s="8"/>
      <c r="I36" s="3"/>
      <c r="J36" s="7">
        <f t="shared" si="1"/>
        <v>0</v>
      </c>
      <c r="K36" s="3"/>
      <c r="L36" s="8">
        <f t="shared" si="2"/>
        <v>462.38</v>
      </c>
      <c r="M36" s="3"/>
      <c r="N36" s="7">
        <f t="shared" si="3"/>
        <v>0</v>
      </c>
      <c r="O36" s="12"/>
      <c r="P36" s="8">
        <v>4696.79</v>
      </c>
      <c r="Q36" s="3"/>
      <c r="R36" s="7">
        <f t="shared" si="4"/>
        <v>5.0843766044999759E-2</v>
      </c>
      <c r="S36" s="3"/>
      <c r="T36" s="8"/>
      <c r="U36" s="3"/>
      <c r="V36" s="7">
        <f t="shared" si="5"/>
        <v>0</v>
      </c>
      <c r="W36" s="3"/>
      <c r="X36" s="8">
        <f t="shared" si="6"/>
        <v>4696.79</v>
      </c>
      <c r="Y36" s="3"/>
      <c r="Z36" s="7">
        <f t="shared" si="7"/>
        <v>0</v>
      </c>
    </row>
    <row r="37" spans="1:26" s="69" customFormat="1" ht="15" customHeight="1" outlineLevel="1" collapsed="1" x14ac:dyDescent="0.25">
      <c r="A37" s="26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5.9602072622758372E-2</v>
      </c>
      <c r="G37" s="2"/>
      <c r="H37" s="2">
        <f>SUM(OSRRefH22_5x_0)</f>
        <v>588</v>
      </c>
      <c r="I37" s="2"/>
      <c r="J37" s="6">
        <f t="shared" si="1"/>
        <v>0</v>
      </c>
      <c r="K37" s="2"/>
      <c r="L37" s="2">
        <f t="shared" si="2"/>
        <v>0.94000000000005457</v>
      </c>
      <c r="M37" s="2"/>
      <c r="N37" s="6">
        <f t="shared" si="3"/>
        <v>1.5986394557824057E-3</v>
      </c>
      <c r="O37" s="14"/>
      <c r="P37" s="2">
        <f>SUM(OSRRefP22_5x_0)</f>
        <v>6478.34</v>
      </c>
      <c r="Q37" s="2"/>
      <c r="R37" s="6">
        <f t="shared" si="4"/>
        <v>7.012942952952203E-2</v>
      </c>
      <c r="S37" s="2"/>
      <c r="T37" s="2">
        <f>SUM(OSRRefT22_5x_0)</f>
        <v>6468</v>
      </c>
      <c r="U37" s="2"/>
      <c r="V37" s="6">
        <f t="shared" si="5"/>
        <v>0</v>
      </c>
      <c r="W37" s="2"/>
      <c r="X37" s="2">
        <f t="shared" si="6"/>
        <v>10.340000000000146</v>
      </c>
      <c r="Y37" s="2"/>
      <c r="Z37" s="6">
        <f t="shared" si="7"/>
        <v>1.5986394557823355E-3</v>
      </c>
    </row>
    <row r="38" spans="1:26" s="70" customFormat="1" ht="15" hidden="1" customHeight="1" outlineLevel="2" x14ac:dyDescent="0.25">
      <c r="A38" s="25"/>
      <c r="B38" s="12" t="str">
        <f>CONCATENATE("          ","6322"," - ","EQUIPMENT DEPRECIATION EXPENSE")</f>
        <v xml:space="preserve">          6322 - EQUIPMENT DEPRECIATION EXPENSE</v>
      </c>
      <c r="C38" s="12"/>
      <c r="D38" s="8">
        <v>588.94000000000005</v>
      </c>
      <c r="E38" s="3"/>
      <c r="F38" s="7">
        <f t="shared" si="0"/>
        <v>5.9602072622758372E-2</v>
      </c>
      <c r="G38" s="3"/>
      <c r="H38" s="8">
        <v>588</v>
      </c>
      <c r="I38" s="3"/>
      <c r="J38" s="7">
        <f t="shared" si="1"/>
        <v>0</v>
      </c>
      <c r="K38" s="3"/>
      <c r="L38" s="8">
        <f t="shared" si="2"/>
        <v>0.94000000000005457</v>
      </c>
      <c r="M38" s="3"/>
      <c r="N38" s="7">
        <f t="shared" si="3"/>
        <v>1.5986394557824057E-3</v>
      </c>
      <c r="O38" s="12"/>
      <c r="P38" s="8">
        <v>6478.34</v>
      </c>
      <c r="Q38" s="3"/>
      <c r="R38" s="7">
        <f t="shared" si="4"/>
        <v>7.012942952952203E-2</v>
      </c>
      <c r="S38" s="3"/>
      <c r="T38" s="8">
        <v>6468</v>
      </c>
      <c r="U38" s="3"/>
      <c r="V38" s="7">
        <f t="shared" si="5"/>
        <v>0</v>
      </c>
      <c r="W38" s="3"/>
      <c r="X38" s="8">
        <f t="shared" si="6"/>
        <v>10.340000000000146</v>
      </c>
      <c r="Y38" s="3"/>
      <c r="Z38" s="7">
        <f t="shared" si="7"/>
        <v>1.5986394557823355E-3</v>
      </c>
    </row>
    <row r="39" spans="1:26" s="69" customFormat="1" ht="15" customHeight="1" outlineLevel="1" collapsed="1" x14ac:dyDescent="0.25">
      <c r="A39" s="26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3.2475647864818163E-4</v>
      </c>
      <c r="S39" s="2"/>
      <c r="T39" s="2">
        <f>SUM(OSRRefT22_6x_0)</f>
        <v>0</v>
      </c>
      <c r="U39" s="2"/>
      <c r="V39" s="6">
        <f t="shared" si="5"/>
        <v>0</v>
      </c>
      <c r="W39" s="2"/>
      <c r="X39" s="2">
        <f t="shared" si="6"/>
        <v>30</v>
      </c>
      <c r="Y39" s="2"/>
      <c r="Z39" s="6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","6351"," - ","EQUIPMENT RENTAL")</f>
        <v xml:space="preserve">          6351 - EQUIPMENT RENTAL</v>
      </c>
      <c r="C40" s="12"/>
      <c r="D40" s="8"/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>
        <v>30</v>
      </c>
      <c r="Q40" s="3"/>
      <c r="R40" s="7">
        <f t="shared" si="4"/>
        <v>3.2475647864818163E-4</v>
      </c>
      <c r="S40" s="3"/>
      <c r="T40" s="8"/>
      <c r="U40" s="3"/>
      <c r="V40" s="7">
        <f t="shared" si="5"/>
        <v>0</v>
      </c>
      <c r="W40" s="3"/>
      <c r="X40" s="8">
        <f t="shared" si="6"/>
        <v>30</v>
      </c>
      <c r="Y40" s="3"/>
      <c r="Z40" s="7">
        <f t="shared" si="7"/>
        <v>0</v>
      </c>
    </row>
    <row r="41" spans="1:26" s="69" customFormat="1" ht="15" customHeight="1" outlineLevel="1" collapsed="1" x14ac:dyDescent="0.25">
      <c r="A41" s="26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256.79000000000002</v>
      </c>
      <c r="E41" s="2"/>
      <c r="F41" s="6">
        <f t="shared" si="0"/>
        <v>2.5987734283285432E-2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256.79000000000002</v>
      </c>
      <c r="M41" s="2"/>
      <c r="N41" s="6">
        <f t="shared" si="3"/>
        <v>0</v>
      </c>
      <c r="O41" s="14"/>
      <c r="P41" s="2">
        <f>SUM(OSRRefP22_7x_0)</f>
        <v>1103.44</v>
      </c>
      <c r="Q41" s="2"/>
      <c r="R41" s="6">
        <f t="shared" si="4"/>
        <v>1.1944976293318317E-2</v>
      </c>
      <c r="S41" s="2"/>
      <c r="T41" s="2">
        <f>SUM(OSRRefT22_7x_0)</f>
        <v>0</v>
      </c>
      <c r="U41" s="2"/>
      <c r="V41" s="6">
        <f t="shared" si="5"/>
        <v>0</v>
      </c>
      <c r="W41" s="2"/>
      <c r="X41" s="2">
        <f t="shared" si="6"/>
        <v>1103.44</v>
      </c>
      <c r="Y41" s="2"/>
      <c r="Z41" s="6">
        <f t="shared" si="7"/>
        <v>0</v>
      </c>
    </row>
    <row r="42" spans="1:26" s="70" customFormat="1" ht="15" hidden="1" customHeight="1" outlineLevel="2" x14ac:dyDescent="0.25">
      <c r="A42" s="25"/>
      <c r="B42" s="12" t="str">
        <f>CONCATENATE("          ","6279"," - ","GENERAL EXPENSE")</f>
        <v xml:space="preserve">          6279 - GENERAL EXPENSE</v>
      </c>
      <c r="C42" s="12"/>
      <c r="D42" s="8">
        <v>256.79000000000002</v>
      </c>
      <c r="E42" s="3"/>
      <c r="F42" s="7">
        <f t="shared" si="0"/>
        <v>2.5987734283285432E-2</v>
      </c>
      <c r="G42" s="3"/>
      <c r="H42" s="8"/>
      <c r="I42" s="3"/>
      <c r="J42" s="7">
        <f t="shared" si="1"/>
        <v>0</v>
      </c>
      <c r="K42" s="3"/>
      <c r="L42" s="8">
        <f t="shared" si="2"/>
        <v>256.79000000000002</v>
      </c>
      <c r="M42" s="3"/>
      <c r="N42" s="7">
        <f t="shared" si="3"/>
        <v>0</v>
      </c>
      <c r="O42" s="12"/>
      <c r="P42" s="8">
        <v>1103.44</v>
      </c>
      <c r="Q42" s="3"/>
      <c r="R42" s="7">
        <f t="shared" si="4"/>
        <v>1.1944976293318317E-2</v>
      </c>
      <c r="S42" s="3"/>
      <c r="T42" s="8"/>
      <c r="U42" s="3"/>
      <c r="V42" s="7">
        <f t="shared" si="5"/>
        <v>0</v>
      </c>
      <c r="W42" s="3"/>
      <c r="X42" s="8">
        <f t="shared" si="6"/>
        <v>1103.44</v>
      </c>
      <c r="Y42" s="3"/>
      <c r="Z42" s="7">
        <f t="shared" si="7"/>
        <v>0</v>
      </c>
    </row>
    <row r="43" spans="1:26" s="69" customFormat="1" ht="15" customHeight="1" outlineLevel="1" collapsed="1" x14ac:dyDescent="0.25">
      <c r="A43" s="26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0</v>
      </c>
      <c r="E43" s="2"/>
      <c r="F43" s="6">
        <f t="shared" si="0"/>
        <v>0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SUM(OSRRefP22_8x_0)</f>
        <v>2020.17</v>
      </c>
      <c r="Q43" s="2"/>
      <c r="R43" s="6">
        <f t="shared" si="4"/>
        <v>2.1868776515689903E-2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2020.17</v>
      </c>
      <c r="Y43" s="2"/>
      <c r="Z43" s="6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","6373"," - ","MAINTENANCE CONTRACTS")</f>
        <v xml:space="preserve">          6373 - MAINTENANCE CONTRACTS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147.76</v>
      </c>
      <c r="Q44" s="3"/>
      <c r="R44" s="7">
        <f t="shared" si="4"/>
        <v>1.5995339095018436E-3</v>
      </c>
      <c r="S44" s="3"/>
      <c r="T44" s="8"/>
      <c r="U44" s="3"/>
      <c r="V44" s="7">
        <f t="shared" si="5"/>
        <v>0</v>
      </c>
      <c r="W44" s="3"/>
      <c r="X44" s="8">
        <f t="shared" si="6"/>
        <v>147.76</v>
      </c>
      <c r="Y44" s="3"/>
      <c r="Z44" s="7">
        <f t="shared" si="7"/>
        <v>0</v>
      </c>
    </row>
    <row r="45" spans="1:26" s="70" customFormat="1" ht="15" hidden="1" customHeight="1" outlineLevel="2" x14ac:dyDescent="0.25">
      <c r="A45" s="25"/>
      <c r="B45" s="12" t="str">
        <f>CONCATENATE("          ","6375"," - ","OUTSIDE REPAIRS &amp; MAINTENANCE")</f>
        <v xml:space="preserve">          6375 - OUTSIDE REPAIRS &amp; MAINTENANCE</v>
      </c>
      <c r="C45" s="12"/>
      <c r="D45" s="8"/>
      <c r="E45" s="3"/>
      <c r="F45" s="7">
        <f t="shared" si="0"/>
        <v>0</v>
      </c>
      <c r="G45" s="3"/>
      <c r="H45" s="8"/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1872.41</v>
      </c>
      <c r="Q45" s="3"/>
      <c r="R45" s="7">
        <f t="shared" si="4"/>
        <v>2.0269242606188058E-2</v>
      </c>
      <c r="S45" s="3"/>
      <c r="T45" s="8"/>
      <c r="U45" s="3"/>
      <c r="V45" s="7">
        <f t="shared" si="5"/>
        <v>0</v>
      </c>
      <c r="W45" s="3"/>
      <c r="X45" s="8">
        <f t="shared" si="6"/>
        <v>1872.41</v>
      </c>
      <c r="Y45" s="3"/>
      <c r="Z45" s="7">
        <f t="shared" si="7"/>
        <v>0</v>
      </c>
    </row>
    <row r="46" spans="1:26" s="69" customFormat="1" ht="15" customHeight="1" outlineLevel="1" collapsed="1" x14ac:dyDescent="0.25">
      <c r="A46" s="26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129</v>
      </c>
      <c r="E46" s="2"/>
      <c r="F46" s="6">
        <f t="shared" si="0"/>
        <v>1.3055094522932437E-2</v>
      </c>
      <c r="G46" s="2"/>
      <c r="H46" s="2">
        <f>SUM(OSRRefH22_9x_0)</f>
        <v>0</v>
      </c>
      <c r="I46" s="2"/>
      <c r="J46" s="6">
        <f t="shared" si="1"/>
        <v>0</v>
      </c>
      <c r="K46" s="2"/>
      <c r="L46" s="2">
        <f t="shared" si="2"/>
        <v>129</v>
      </c>
      <c r="M46" s="2"/>
      <c r="N46" s="6">
        <f t="shared" si="3"/>
        <v>0</v>
      </c>
      <c r="O46" s="14"/>
      <c r="P46" s="2">
        <f>SUM(OSRRefP22_9x_0)</f>
        <v>2280.34</v>
      </c>
      <c r="Q46" s="2"/>
      <c r="R46" s="6">
        <f t="shared" si="4"/>
        <v>2.4685172950686483E-2</v>
      </c>
      <c r="S46" s="2"/>
      <c r="T46" s="2">
        <f>SUM(OSRRefT22_9x_0)</f>
        <v>0</v>
      </c>
      <c r="U46" s="2"/>
      <c r="V46" s="6">
        <f t="shared" si="5"/>
        <v>0</v>
      </c>
      <c r="W46" s="2"/>
      <c r="X46" s="2">
        <f t="shared" si="6"/>
        <v>2280.34</v>
      </c>
      <c r="Y46" s="2"/>
      <c r="Z46" s="6">
        <f t="shared" si="7"/>
        <v>0</v>
      </c>
    </row>
    <row r="47" spans="1:26" s="70" customFormat="1" ht="15" hidden="1" customHeight="1" outlineLevel="2" x14ac:dyDescent="0.25">
      <c r="A47" s="25"/>
      <c r="B47" s="12" t="str">
        <f>CONCATENATE("          ","6282"," - ","JANITORIAL/EXTERMINATOR EXPENS")</f>
        <v xml:space="preserve">          6282 - JANITORIAL/EXTERMINATOR EXPENS</v>
      </c>
      <c r="C47" s="12"/>
      <c r="D47" s="8">
        <v>129</v>
      </c>
      <c r="E47" s="3"/>
      <c r="F47" s="7">
        <f t="shared" si="0"/>
        <v>1.3055094522932437E-2</v>
      </c>
      <c r="G47" s="3"/>
      <c r="H47" s="8"/>
      <c r="I47" s="3"/>
      <c r="J47" s="7">
        <f t="shared" si="1"/>
        <v>0</v>
      </c>
      <c r="K47" s="3"/>
      <c r="L47" s="8">
        <f t="shared" si="2"/>
        <v>129</v>
      </c>
      <c r="M47" s="3"/>
      <c r="N47" s="7">
        <f t="shared" si="3"/>
        <v>0</v>
      </c>
      <c r="O47" s="12"/>
      <c r="P47" s="8">
        <v>2034.5</v>
      </c>
      <c r="Q47" s="3"/>
      <c r="R47" s="7">
        <f t="shared" si="4"/>
        <v>2.2023901860324182E-2</v>
      </c>
      <c r="S47" s="3"/>
      <c r="T47" s="8"/>
      <c r="U47" s="3"/>
      <c r="V47" s="7">
        <f t="shared" si="5"/>
        <v>0</v>
      </c>
      <c r="W47" s="3"/>
      <c r="X47" s="8">
        <f t="shared" si="6"/>
        <v>2034.5</v>
      </c>
      <c r="Y47" s="3"/>
      <c r="Z47" s="7">
        <f t="shared" si="7"/>
        <v>0</v>
      </c>
    </row>
    <row r="48" spans="1:26" s="70" customFormat="1" ht="15" hidden="1" customHeight="1" outlineLevel="2" x14ac:dyDescent="0.25">
      <c r="A48" s="25"/>
      <c r="B48" s="12" t="str">
        <f>CONCATENATE("          ","6285"," - ","JANITORIAL SERVICES")</f>
        <v xml:space="preserve">          6285 - JANITORIAL SERVICES</v>
      </c>
      <c r="C48" s="12"/>
      <c r="D48" s="8"/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0</v>
      </c>
      <c r="M48" s="3"/>
      <c r="N48" s="7">
        <f t="shared" si="3"/>
        <v>0</v>
      </c>
      <c r="O48" s="12"/>
      <c r="P48" s="8">
        <v>245.84</v>
      </c>
      <c r="Q48" s="3"/>
      <c r="R48" s="7">
        <f t="shared" si="4"/>
        <v>2.661271090362299E-3</v>
      </c>
      <c r="S48" s="3"/>
      <c r="T48" s="8"/>
      <c r="U48" s="3"/>
      <c r="V48" s="7">
        <f t="shared" si="5"/>
        <v>0</v>
      </c>
      <c r="W48" s="3"/>
      <c r="X48" s="8">
        <f t="shared" si="6"/>
        <v>245.84</v>
      </c>
      <c r="Y48" s="3"/>
      <c r="Z48" s="7">
        <f t="shared" si="7"/>
        <v>0</v>
      </c>
    </row>
    <row r="49" spans="1:26" s="69" customFormat="1" ht="15" customHeight="1" outlineLevel="1" collapsed="1" x14ac:dyDescent="0.25">
      <c r="A49" s="26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-33.409999999999997</v>
      </c>
      <c r="E49" s="2"/>
      <c r="F49" s="6">
        <f t="shared" si="0"/>
        <v>-3.3811682791563772E-3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-33.409999999999997</v>
      </c>
      <c r="M49" s="2"/>
      <c r="N49" s="6">
        <f t="shared" si="3"/>
        <v>0</v>
      </c>
      <c r="O49" s="14"/>
      <c r="P49" s="2">
        <f>SUM(OSRRefP22_10x_0)</f>
        <v>88.18</v>
      </c>
      <c r="Q49" s="2"/>
      <c r="R49" s="6">
        <f t="shared" si="4"/>
        <v>9.5456754290655524E-4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88.18</v>
      </c>
      <c r="Y49" s="2"/>
      <c r="Z49" s="6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","6241"," - ","OFFICE EXPENSE")</f>
        <v xml:space="preserve">          6241 - OFFICE EXPENSE</v>
      </c>
      <c r="C50" s="12"/>
      <c r="D50" s="8"/>
      <c r="E50" s="3"/>
      <c r="F50" s="7">
        <f t="shared" si="0"/>
        <v>0</v>
      </c>
      <c r="G50" s="3"/>
      <c r="H50" s="8"/>
      <c r="I50" s="3"/>
      <c r="J50" s="7">
        <f t="shared" si="1"/>
        <v>0</v>
      </c>
      <c r="K50" s="3"/>
      <c r="L50" s="8">
        <f t="shared" si="2"/>
        <v>0</v>
      </c>
      <c r="M50" s="3"/>
      <c r="N50" s="7">
        <f t="shared" si="3"/>
        <v>0</v>
      </c>
      <c r="O50" s="12"/>
      <c r="P50" s="8">
        <v>28.64</v>
      </c>
      <c r="Q50" s="3"/>
      <c r="R50" s="7">
        <f t="shared" si="4"/>
        <v>3.1003418494946405E-4</v>
      </c>
      <c r="S50" s="3"/>
      <c r="T50" s="8"/>
      <c r="U50" s="3"/>
      <c r="V50" s="7">
        <f t="shared" si="5"/>
        <v>0</v>
      </c>
      <c r="W50" s="3"/>
      <c r="X50" s="8">
        <f t="shared" si="6"/>
        <v>28.64</v>
      </c>
      <c r="Y50" s="3"/>
      <c r="Z50" s="7">
        <f t="shared" si="7"/>
        <v>0</v>
      </c>
    </row>
    <row r="51" spans="1:26" s="70" customFormat="1" ht="15" hidden="1" customHeight="1" outlineLevel="2" x14ac:dyDescent="0.25">
      <c r="A51" s="25"/>
      <c r="B51" s="12" t="str">
        <f>CONCATENATE("          ","6247"," - ","STORE SUPPLIES")</f>
        <v xml:space="preserve">          6247 - STORE SUPPLIES</v>
      </c>
      <c r="C51" s="12"/>
      <c r="D51" s="8">
        <v>-33.409999999999997</v>
      </c>
      <c r="E51" s="3"/>
      <c r="F51" s="7">
        <f t="shared" si="0"/>
        <v>-3.3811682791563772E-3</v>
      </c>
      <c r="G51" s="3"/>
      <c r="H51" s="8"/>
      <c r="I51" s="3"/>
      <c r="J51" s="7">
        <f t="shared" si="1"/>
        <v>0</v>
      </c>
      <c r="K51" s="3"/>
      <c r="L51" s="8">
        <f t="shared" si="2"/>
        <v>-33.409999999999997</v>
      </c>
      <c r="M51" s="3"/>
      <c r="N51" s="7">
        <f t="shared" si="3"/>
        <v>0</v>
      </c>
      <c r="O51" s="12"/>
      <c r="P51" s="8">
        <v>59.54</v>
      </c>
      <c r="Q51" s="3"/>
      <c r="R51" s="7">
        <f t="shared" si="4"/>
        <v>6.4453335795709114E-4</v>
      </c>
      <c r="S51" s="3"/>
      <c r="T51" s="8"/>
      <c r="U51" s="3"/>
      <c r="V51" s="7">
        <f t="shared" si="5"/>
        <v>0</v>
      </c>
      <c r="W51" s="3"/>
      <c r="X51" s="8">
        <f t="shared" si="6"/>
        <v>59.54</v>
      </c>
      <c r="Y51" s="3"/>
      <c r="Z51" s="7">
        <f t="shared" si="7"/>
        <v>0</v>
      </c>
    </row>
    <row r="52" spans="1:26" s="69" customFormat="1" ht="15" customHeight="1" outlineLevel="1" collapsed="1" x14ac:dyDescent="0.25">
      <c r="A52" s="26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3.0360684937052176E-3</v>
      </c>
      <c r="G52" s="2"/>
      <c r="H52" s="2">
        <f>SUM(OSRRefH22_11x_0)</f>
        <v>0</v>
      </c>
      <c r="I52" s="2"/>
      <c r="J52" s="6">
        <f t="shared" si="1"/>
        <v>0</v>
      </c>
      <c r="K52" s="2"/>
      <c r="L52" s="2">
        <f t="shared" si="2"/>
        <v>30</v>
      </c>
      <c r="M52" s="2"/>
      <c r="N52" s="6">
        <f t="shared" si="3"/>
        <v>0</v>
      </c>
      <c r="O52" s="14"/>
      <c r="P52" s="2">
        <f>SUM(OSRRefP22_11x_0)</f>
        <v>330</v>
      </c>
      <c r="Q52" s="2"/>
      <c r="R52" s="6">
        <f t="shared" si="4"/>
        <v>3.5723212651299976E-3</v>
      </c>
      <c r="S52" s="2"/>
      <c r="T52" s="2">
        <f>SUM(OSRRefT22_11x_0)</f>
        <v>0</v>
      </c>
      <c r="U52" s="2"/>
      <c r="V52" s="6">
        <f t="shared" si="5"/>
        <v>0</v>
      </c>
      <c r="W52" s="2"/>
      <c r="X52" s="2">
        <f t="shared" si="6"/>
        <v>330</v>
      </c>
      <c r="Y52" s="2"/>
      <c r="Z52" s="6">
        <f t="shared" si="7"/>
        <v>0</v>
      </c>
    </row>
    <row r="53" spans="1:26" s="70" customFormat="1" ht="15" hidden="1" customHeight="1" outlineLevel="2" x14ac:dyDescent="0.25">
      <c r="A53" s="25"/>
      <c r="B53" s="12" t="str">
        <f>CONCATENATE("          ","6309"," - ","TELEPHONE")</f>
        <v xml:space="preserve">          6309 - TELEPHONE</v>
      </c>
      <c r="C53" s="12"/>
      <c r="D53" s="8">
        <v>30</v>
      </c>
      <c r="E53" s="3"/>
      <c r="F53" s="7">
        <f t="shared" si="0"/>
        <v>3.0360684937052176E-3</v>
      </c>
      <c r="G53" s="3"/>
      <c r="H53" s="8"/>
      <c r="I53" s="3"/>
      <c r="J53" s="7">
        <f t="shared" si="1"/>
        <v>0</v>
      </c>
      <c r="K53" s="3"/>
      <c r="L53" s="8">
        <f t="shared" si="2"/>
        <v>30</v>
      </c>
      <c r="M53" s="3"/>
      <c r="N53" s="7">
        <f t="shared" si="3"/>
        <v>0</v>
      </c>
      <c r="O53" s="12"/>
      <c r="P53" s="8">
        <v>330</v>
      </c>
      <c r="Q53" s="3"/>
      <c r="R53" s="7">
        <f t="shared" si="4"/>
        <v>3.5723212651299976E-3</v>
      </c>
      <c r="S53" s="3"/>
      <c r="T53" s="8"/>
      <c r="U53" s="3"/>
      <c r="V53" s="7">
        <f t="shared" si="5"/>
        <v>0</v>
      </c>
      <c r="W53" s="3"/>
      <c r="X53" s="8">
        <f t="shared" si="6"/>
        <v>330</v>
      </c>
      <c r="Y53" s="3"/>
      <c r="Z53" s="7">
        <f t="shared" si="7"/>
        <v>0</v>
      </c>
    </row>
    <row r="54" spans="1:26" s="69" customFormat="1" ht="15" customHeight="1" outlineLevel="1" collapsed="1" x14ac:dyDescent="0.25">
      <c r="A54" s="26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0</v>
      </c>
      <c r="E54" s="2"/>
      <c r="F54" s="6">
        <f t="shared" si="0"/>
        <v>0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1.2990259145927265E-3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70" customFormat="1" ht="15" hidden="1" customHeight="1" outlineLevel="2" x14ac:dyDescent="0.25">
      <c r="A55" s="25"/>
      <c r="B55" s="12" t="str">
        <f>CONCATENATE("          ","6376"," - ","TRAINING")</f>
        <v xml:space="preserve">          6376 - TRAINING</v>
      </c>
      <c r="C55" s="12"/>
      <c r="D55" s="8"/>
      <c r="E55" s="3"/>
      <c r="F55" s="7">
        <f t="shared" si="0"/>
        <v>0</v>
      </c>
      <c r="G55" s="3"/>
      <c r="H55" s="8"/>
      <c r="I55" s="3"/>
      <c r="J55" s="7">
        <f t="shared" si="1"/>
        <v>0</v>
      </c>
      <c r="K55" s="3"/>
      <c r="L55" s="8">
        <f t="shared" si="2"/>
        <v>0</v>
      </c>
      <c r="M55" s="3"/>
      <c r="N55" s="7">
        <f t="shared" si="3"/>
        <v>0</v>
      </c>
      <c r="O55" s="12"/>
      <c r="P55" s="8">
        <v>120</v>
      </c>
      <c r="Q55" s="3"/>
      <c r="R55" s="7">
        <f t="shared" si="4"/>
        <v>1.2990259145927265E-3</v>
      </c>
      <c r="S55" s="3"/>
      <c r="T55" s="8"/>
      <c r="U55" s="3"/>
      <c r="V55" s="7">
        <f t="shared" si="5"/>
        <v>0</v>
      </c>
      <c r="W55" s="3"/>
      <c r="X55" s="8">
        <f t="shared" si="6"/>
        <v>120</v>
      </c>
      <c r="Y55" s="3"/>
      <c r="Z55" s="7">
        <f t="shared" si="7"/>
        <v>0</v>
      </c>
    </row>
    <row r="56" spans="1:26" s="65" customFormat="1" ht="15" customHeight="1" x14ac:dyDescent="0.25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25">
      <c r="A57" s="11"/>
      <c r="B57" s="27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25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25">
      <c r="A59" s="11"/>
      <c r="B59" s="28" t="s">
        <v>292</v>
      </c>
      <c r="C59" s="28"/>
      <c r="D59" s="22">
        <f>+D22-D24+D57</f>
        <v>1295.4700000000012</v>
      </c>
      <c r="E59" s="15"/>
      <c r="F59" s="21">
        <f>IF(D$12=0,0,D59/D$12)</f>
        <v>0.13110452171801007</v>
      </c>
      <c r="G59" s="15"/>
      <c r="H59" s="22">
        <f>+H22-H24+H57</f>
        <v>-588</v>
      </c>
      <c r="I59" s="15"/>
      <c r="J59" s="21">
        <f>IF(H$12=0,0,H59/H$12)</f>
        <v>0</v>
      </c>
      <c r="K59" s="16"/>
      <c r="L59" s="22">
        <f>+D59-H59</f>
        <v>1883.4700000000012</v>
      </c>
      <c r="M59" s="16"/>
      <c r="N59" s="21">
        <f>IF(H59=0,0,L59/H59)</f>
        <v>-3.2031802721088454</v>
      </c>
      <c r="O59" s="27"/>
      <c r="P59" s="22">
        <f>+P22-P24+P57</f>
        <v>14897.130000000019</v>
      </c>
      <c r="Q59" s="15"/>
      <c r="R59" s="21">
        <f>IF(P$12=0,0,P59/P$12)</f>
        <v>0.16126464935880641</v>
      </c>
      <c r="S59" s="15"/>
      <c r="T59" s="22">
        <f>+T22-T24+T57</f>
        <v>-6468</v>
      </c>
      <c r="U59" s="15"/>
      <c r="V59" s="21">
        <f>IF(T$12=0,0,T59/T$12)</f>
        <v>0</v>
      </c>
      <c r="W59" s="16"/>
      <c r="X59" s="22">
        <f>+P59-T59</f>
        <v>21365.130000000019</v>
      </c>
      <c r="Y59" s="16"/>
      <c r="Z59" s="21">
        <f>IF(T59=0,0,X59/T59)</f>
        <v>-3.3032050092764407</v>
      </c>
    </row>
    <row r="60" spans="1:26" ht="15" customHeight="1" x14ac:dyDescent="0.25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25">
      <c r="A61" s="49"/>
      <c r="B61" s="11" t="s">
        <v>293</v>
      </c>
      <c r="C61" s="11"/>
      <c r="D61" s="5">
        <v>1040.08</v>
      </c>
      <c r="E61" s="5"/>
      <c r="F61" s="13">
        <f>IF(D$12=0,0,D61/D$12)</f>
        <v>0.10525847063109742</v>
      </c>
      <c r="G61" s="5"/>
      <c r="H61" s="5"/>
      <c r="I61" s="5"/>
      <c r="J61" s="13">
        <f>IF(H$12=0,0,H61/H$12)</f>
        <v>0</v>
      </c>
      <c r="K61" s="5"/>
      <c r="L61" s="5">
        <f>+D61-H61</f>
        <v>1040.08</v>
      </c>
      <c r="M61" s="5"/>
      <c r="N61" s="13">
        <f>IF(H61=0,0,L61/H61)</f>
        <v>0</v>
      </c>
      <c r="O61" s="11"/>
      <c r="P61" s="5">
        <v>10385.51</v>
      </c>
      <c r="Q61" s="5"/>
      <c r="R61" s="13">
        <f>IF(P$12=0,0,P61/P$12)</f>
        <v>0.11242538855218255</v>
      </c>
      <c r="S61" s="5"/>
      <c r="T61" s="5"/>
      <c r="U61" s="5"/>
      <c r="V61" s="13">
        <f>IF(T$12=0,0,T61/T$12)</f>
        <v>0</v>
      </c>
      <c r="W61" s="5"/>
      <c r="X61" s="5">
        <f>+P61-T61</f>
        <v>10385.51</v>
      </c>
      <c r="Y61" s="5"/>
      <c r="Z61" s="13">
        <f>IF(T61=0,0,X61/T61)</f>
        <v>0</v>
      </c>
    </row>
    <row r="62" spans="1:26" ht="15" customHeight="1" x14ac:dyDescent="0.25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25">
      <c r="A63" s="11"/>
      <c r="B63" s="28" t="s">
        <v>294</v>
      </c>
      <c r="C63" s="28"/>
      <c r="D63" s="34">
        <f>+D59-D61</f>
        <v>255.39000000000124</v>
      </c>
      <c r="E63" s="15"/>
      <c r="F63" s="32">
        <f>IF(D$12=0,0,D63/D$12)</f>
        <v>2.5846051086912646E-2</v>
      </c>
      <c r="G63" s="15"/>
      <c r="H63" s="34">
        <f>+H59-H61</f>
        <v>-588</v>
      </c>
      <c r="I63" s="15"/>
      <c r="J63" s="32">
        <f>IF(H$12=0,0,H63/H$12)</f>
        <v>0</v>
      </c>
      <c r="K63" s="16"/>
      <c r="L63" s="34">
        <f>D63-H63</f>
        <v>843.39000000000124</v>
      </c>
      <c r="M63" s="16"/>
      <c r="N63" s="32">
        <f>IF(H63=0,0,L63/H63)</f>
        <v>-1.4343367346938796</v>
      </c>
      <c r="O63" s="27"/>
      <c r="P63" s="34">
        <f>+P59-P61</f>
        <v>4511.620000000019</v>
      </c>
      <c r="Q63" s="15"/>
      <c r="R63" s="32">
        <f>IF(P$12=0,0,P63/P$12)</f>
        <v>4.883926080662384E-2</v>
      </c>
      <c r="S63" s="15"/>
      <c r="T63" s="34">
        <f>+T59-T61</f>
        <v>-6468</v>
      </c>
      <c r="U63" s="15"/>
      <c r="V63" s="32">
        <f>IF(T$12=0,0,T63/T$12)</f>
        <v>0</v>
      </c>
      <c r="W63" s="16"/>
      <c r="X63" s="34">
        <f>P63-T63</f>
        <v>10979.620000000019</v>
      </c>
      <c r="Y63" s="16"/>
      <c r="Z63" s="32">
        <f>IF(T63=0,0,X63/T63)</f>
        <v>-1.6975293753865213</v>
      </c>
    </row>
    <row r="64" spans="1:26" ht="15" customHeight="1" x14ac:dyDescent="0.25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25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25">
      <c r="A66" s="11"/>
      <c r="B66" s="28" t="s">
        <v>297</v>
      </c>
      <c r="C66" s="28"/>
      <c r="D66" s="30">
        <f>SUM(D63:D65)</f>
        <v>255.39000000000124</v>
      </c>
      <c r="E66" s="15"/>
      <c r="F66" s="33">
        <f>IF(D$12=0,0,D66/D$12)</f>
        <v>2.5846051086912646E-2</v>
      </c>
      <c r="G66" s="15"/>
      <c r="H66" s="30">
        <f>SUM(H63:H65)</f>
        <v>-588</v>
      </c>
      <c r="I66" s="15"/>
      <c r="J66" s="33">
        <f>IF(H$12=0,0,H66/H$12)</f>
        <v>0</v>
      </c>
      <c r="K66" s="16"/>
      <c r="L66" s="30">
        <f>+D66-H66</f>
        <v>843.39000000000124</v>
      </c>
      <c r="M66" s="16"/>
      <c r="N66" s="33">
        <f>IF(H66=0,0,L66/H66)</f>
        <v>-1.4343367346938796</v>
      </c>
      <c r="O66" s="27"/>
      <c r="P66" s="30">
        <f>SUM(P63:P65)</f>
        <v>4511.620000000019</v>
      </c>
      <c r="Q66" s="15"/>
      <c r="R66" s="33">
        <f>IF(P$12=0,0,P66/P$12)</f>
        <v>4.883926080662384E-2</v>
      </c>
      <c r="S66" s="15"/>
      <c r="T66" s="30">
        <f>SUM(T63:T65)</f>
        <v>-6468</v>
      </c>
      <c r="U66" s="15"/>
      <c r="V66" s="33">
        <f>IF(T$12=0,0,T66/T$12)</f>
        <v>0</v>
      </c>
      <c r="W66" s="16"/>
      <c r="X66" s="30">
        <f>+P66-T66</f>
        <v>10979.620000000019</v>
      </c>
      <c r="Y66" s="16"/>
      <c r="Z66" s="33">
        <f>IF(T66=0,0,X66/T66)</f>
        <v>-1.6975293753865213</v>
      </c>
    </row>
    <row r="67" spans="1:26" ht="15" customHeight="1" x14ac:dyDescent="0.25">
      <c r="A67" s="10"/>
      <c r="C67" s="10"/>
      <c r="D67" s="18"/>
      <c r="E67" s="18"/>
      <c r="G67" s="18"/>
      <c r="H67" s="18"/>
      <c r="I67" s="18"/>
      <c r="J67" s="40"/>
      <c r="K67" s="18"/>
      <c r="L67" s="18"/>
      <c r="M67" s="18"/>
      <c r="P67" s="18"/>
      <c r="Q67" s="18"/>
      <c r="R67" s="40"/>
      <c r="S67" s="18"/>
      <c r="T67" s="18"/>
      <c r="U67" s="18"/>
      <c r="V67" s="40"/>
      <c r="W67" s="18"/>
      <c r="X67" s="18"/>
    </row>
    <row r="68" spans="1:26" ht="15" customHeight="1" x14ac:dyDescent="0.25">
      <c r="A68" s="10"/>
      <c r="B68" s="54">
        <v>44727.874527581022</v>
      </c>
      <c r="D68" s="18"/>
      <c r="E68" s="18"/>
      <c r="G68" s="18"/>
      <c r="H68" s="18"/>
      <c r="I68" s="18"/>
      <c r="J68" s="40"/>
      <c r="K68" s="18"/>
      <c r="L68" s="18"/>
      <c r="M68" s="18"/>
      <c r="P68" s="18"/>
      <c r="Q68" s="18"/>
      <c r="R68" s="40"/>
      <c r="S68" s="18"/>
      <c r="T68" s="18"/>
      <c r="U68" s="18"/>
      <c r="V68" s="40"/>
      <c r="W68" s="18"/>
      <c r="X68" s="18"/>
    </row>
    <row r="69" spans="1:26" ht="15" customHeight="1" x14ac:dyDescent="0.25">
      <c r="A69" s="10"/>
      <c r="B69" s="50" t="s">
        <v>298</v>
      </c>
      <c r="D69" s="18"/>
      <c r="E69" s="18"/>
      <c r="G69" s="18"/>
      <c r="H69" s="18"/>
      <c r="I69" s="18"/>
      <c r="J69" s="40"/>
      <c r="K69" s="18"/>
      <c r="L69" s="18"/>
      <c r="M69" s="18"/>
      <c r="P69" s="18"/>
      <c r="Q69" s="18"/>
      <c r="R69" s="40"/>
      <c r="S69" s="18"/>
      <c r="T69" s="18"/>
      <c r="U69" s="18"/>
      <c r="V69" s="40"/>
      <c r="W69" s="18"/>
      <c r="X69" s="18"/>
    </row>
    <row r="70" spans="1:26" ht="15" customHeight="1" x14ac:dyDescent="0.25">
      <c r="A70" s="10"/>
      <c r="B70" s="58"/>
      <c r="D70" s="18"/>
      <c r="E70" s="18"/>
      <c r="G70" s="18"/>
      <c r="H70" s="18"/>
      <c r="I70" s="18"/>
      <c r="J70" s="40"/>
      <c r="K70" s="18"/>
      <c r="L70" s="18"/>
      <c r="M70" s="18"/>
      <c r="P70" s="18"/>
      <c r="Q70" s="18"/>
      <c r="R70" s="40"/>
      <c r="S70" s="18"/>
      <c r="T70" s="18"/>
      <c r="U70" s="18"/>
      <c r="V70" s="40"/>
      <c r="W70" s="18"/>
      <c r="X70" s="18"/>
    </row>
    <row r="71" spans="1:26" ht="15" customHeight="1" x14ac:dyDescent="0.25">
      <c r="D71" s="18"/>
      <c r="E71" s="18"/>
      <c r="G71" s="18"/>
      <c r="H71" s="18"/>
      <c r="I71" s="18"/>
      <c r="J71" s="40"/>
      <c r="K71" s="18"/>
      <c r="L71" s="18"/>
      <c r="M71" s="18"/>
      <c r="P71" s="18"/>
      <c r="Q71" s="18"/>
      <c r="R71" s="40"/>
      <c r="S71" s="18"/>
      <c r="T71" s="18"/>
      <c r="U71" s="18"/>
      <c r="V71" s="40"/>
      <c r="W71" s="18"/>
      <c r="X7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45F08-31BD-E349-9B78-4698F05B1E91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","321"," - ","Corner Market")</f>
        <v>Department 321 - Corner Market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15967.099999999999</v>
      </c>
      <c r="E12" s="5"/>
      <c r="F12" s="13"/>
      <c r="G12" s="5"/>
      <c r="H12" s="5">
        <f>SUM(OSRRefH13x_0)</f>
        <v>13768</v>
      </c>
      <c r="I12" s="5"/>
      <c r="J12" s="13"/>
      <c r="K12" s="5"/>
      <c r="L12" s="5">
        <f>+D12-H12</f>
        <v>2199.0999999999985</v>
      </c>
      <c r="M12" s="5"/>
      <c r="N12" s="13">
        <f>IF(H12=0,0,L12/H12)</f>
        <v>0.15972545031958155</v>
      </c>
      <c r="O12" s="11"/>
      <c r="P12" s="5">
        <f>SUM(OSRRefP13x_0)</f>
        <v>116007.84</v>
      </c>
      <c r="Q12" s="5"/>
      <c r="R12" s="13"/>
      <c r="S12" s="5"/>
      <c r="T12" s="5">
        <f>SUM(OSRRefT13x_0)</f>
        <v>153695</v>
      </c>
      <c r="U12" s="5"/>
      <c r="V12" s="13"/>
      <c r="W12" s="5"/>
      <c r="X12" s="5">
        <f>+P12-T12</f>
        <v>-37687.160000000003</v>
      </c>
      <c r="Y12" s="5"/>
      <c r="Z12" s="13">
        <f>IF(T12=0,0,X12/T12)</f>
        <v>-0.24520745632584015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--2956.29</f>
        <v>2956.29</v>
      </c>
      <c r="E13" s="3"/>
      <c r="F13" s="20"/>
      <c r="G13" s="3"/>
      <c r="H13" s="3">
        <v>3197</v>
      </c>
      <c r="I13" s="3"/>
      <c r="J13" s="20"/>
      <c r="K13" s="3"/>
      <c r="L13" s="3">
        <f>+D13-H13</f>
        <v>-240.71000000000004</v>
      </c>
      <c r="M13" s="3"/>
      <c r="N13" s="20">
        <f>IF(H13=0,0,L13/H13)</f>
        <v>-7.529246168282766E-2</v>
      </c>
      <c r="O13" s="12"/>
      <c r="P13" s="3">
        <f>--18760.79</f>
        <v>18760.79</v>
      </c>
      <c r="Q13" s="3"/>
      <c r="R13" s="20"/>
      <c r="S13" s="3"/>
      <c r="T13" s="3">
        <v>35689</v>
      </c>
      <c r="U13" s="3"/>
      <c r="V13" s="20"/>
      <c r="W13" s="3"/>
      <c r="X13" s="3">
        <f>+P13-T13</f>
        <v>-16928.21</v>
      </c>
      <c r="Y13" s="3"/>
      <c r="Z13" s="20">
        <f>IF(T13=0,0,X13/T13)</f>
        <v>-0.47432570259743895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--13010.81</f>
        <v>13010.81</v>
      </c>
      <c r="E14" s="3"/>
      <c r="F14" s="20"/>
      <c r="G14" s="3"/>
      <c r="H14" s="3">
        <v>10571</v>
      </c>
      <c r="I14" s="3"/>
      <c r="J14" s="20"/>
      <c r="K14" s="3"/>
      <c r="L14" s="3">
        <f>+D14-H14</f>
        <v>2439.8099999999995</v>
      </c>
      <c r="M14" s="3"/>
      <c r="N14" s="20">
        <f>IF(H14=0,0,L14/H14)</f>
        <v>0.23080219468356822</v>
      </c>
      <c r="O14" s="12"/>
      <c r="P14" s="3">
        <f>--97247.05</f>
        <v>97247.05</v>
      </c>
      <c r="Q14" s="3"/>
      <c r="R14" s="20"/>
      <c r="S14" s="3"/>
      <c r="T14" s="3">
        <v>118006</v>
      </c>
      <c r="U14" s="3"/>
      <c r="V14" s="20"/>
      <c r="W14" s="3"/>
      <c r="X14" s="3">
        <f>+P14-T14</f>
        <v>-20758.949999999997</v>
      </c>
      <c r="Y14" s="3"/>
      <c r="Z14" s="20">
        <f>IF(T14=0,0,X14/T14)</f>
        <v>-0.17591436028676505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25">
      <c r="A16" s="11"/>
      <c r="B16" s="27" t="s">
        <v>288</v>
      </c>
      <c r="C16" s="11"/>
      <c r="D16" s="5">
        <f>SUM(OSRRefD16x_0)</f>
        <v>4385.58</v>
      </c>
      <c r="E16" s="5"/>
      <c r="F16" s="13">
        <f>IF(D$12=0,0,D16/D$12)</f>
        <v>0.27466352687714113</v>
      </c>
      <c r="G16" s="5"/>
      <c r="H16" s="5">
        <f>SUM(OSRRefH16x_0)</f>
        <v>6746</v>
      </c>
      <c r="I16" s="5"/>
      <c r="J16" s="13">
        <f>IF(H$12=0,0,H16/H$12)</f>
        <v>0.48997675769901222</v>
      </c>
      <c r="K16" s="5"/>
      <c r="L16" s="5">
        <f>+D16-H16</f>
        <v>-2360.42</v>
      </c>
      <c r="M16" s="5"/>
      <c r="N16" s="13">
        <f>IF(H16=0,0,L16/H16)</f>
        <v>-0.34989919952564486</v>
      </c>
      <c r="O16" s="11"/>
      <c r="P16" s="5">
        <f>SUM(OSRRefP16x_0)</f>
        <v>61935.289999999994</v>
      </c>
      <c r="Q16" s="5"/>
      <c r="R16" s="13">
        <f>IF(P$12=0,0,P16/P$12)</f>
        <v>0.53388883027216083</v>
      </c>
      <c r="S16" s="5"/>
      <c r="T16" s="5">
        <f>SUM(OSRRefT16x_0)</f>
        <v>75309</v>
      </c>
      <c r="U16" s="5"/>
      <c r="V16" s="13">
        <f>IF(T$12=0,0,T16/T$12)</f>
        <v>0.48998991509157747</v>
      </c>
      <c r="W16" s="5"/>
      <c r="X16" s="5">
        <f>+P16-T16</f>
        <v>-13373.710000000006</v>
      </c>
      <c r="Y16" s="5"/>
      <c r="Z16" s="13">
        <f>IF(T16=0,0,X16/T16)</f>
        <v>-0.17758448525408657</v>
      </c>
    </row>
    <row r="17" spans="1:26" s="70" customFormat="1" ht="15" hidden="1" customHeight="1" outlineLevel="1" x14ac:dyDescent="0.25">
      <c r="A17" s="42"/>
      <c r="B17" s="12" t="str">
        <f>CONCATENATE("          ","5000"," - ","PURCHASES @ COST")</f>
        <v xml:space="preserve">          5000 - PURCHASES @ COST</v>
      </c>
      <c r="C17" s="12"/>
      <c r="D17" s="3">
        <v>0</v>
      </c>
      <c r="E17" s="3"/>
      <c r="F17" s="20">
        <f>IF(D$12=0,0,D17/D$12)</f>
        <v>0</v>
      </c>
      <c r="G17" s="3"/>
      <c r="H17" s="3">
        <v>6746</v>
      </c>
      <c r="I17" s="3"/>
      <c r="J17" s="20">
        <f>IF(H$12=0,0,H17/H$12)</f>
        <v>0.48997675769901222</v>
      </c>
      <c r="K17" s="3"/>
      <c r="L17" s="3">
        <f>+D17-H17</f>
        <v>-6746</v>
      </c>
      <c r="M17" s="3"/>
      <c r="N17" s="20">
        <f>IF(H17=0,0,L17/H17)</f>
        <v>-1</v>
      </c>
      <c r="O17" s="12"/>
      <c r="P17" s="3">
        <v>-8062</v>
      </c>
      <c r="Q17" s="3"/>
      <c r="R17" s="20">
        <f>IF(P$12=0,0,P17/P$12)</f>
        <v>-6.9495303076067966E-2</v>
      </c>
      <c r="S17" s="3"/>
      <c r="T17" s="3">
        <v>75309</v>
      </c>
      <c r="U17" s="3"/>
      <c r="V17" s="20">
        <f>IF(T$12=0,0,T17/T$12)</f>
        <v>0.48998991509157747</v>
      </c>
      <c r="W17" s="3"/>
      <c r="X17" s="3">
        <f>+P17-T17</f>
        <v>-83371</v>
      </c>
      <c r="Y17" s="3"/>
      <c r="Z17" s="20">
        <f>IF(T17=0,0,X17/T17)</f>
        <v>-1.1070522779481868</v>
      </c>
    </row>
    <row r="18" spans="1:26" s="70" customFormat="1" ht="15" hidden="1" customHeight="1" outlineLevel="1" x14ac:dyDescent="0.25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4385.58</v>
      </c>
      <c r="E18" s="3"/>
      <c r="F18" s="20">
        <f>IF(D$12=0,0,D18/D$12)</f>
        <v>0.27466352687714113</v>
      </c>
      <c r="G18" s="3"/>
      <c r="H18" s="3"/>
      <c r="I18" s="3"/>
      <c r="J18" s="20">
        <f>IF(H$12=0,0,H18/H$12)</f>
        <v>0</v>
      </c>
      <c r="K18" s="3"/>
      <c r="L18" s="3">
        <f>+D18-H18</f>
        <v>4385.58</v>
      </c>
      <c r="M18" s="3"/>
      <c r="N18" s="20">
        <f>IF(H18=0,0,L18/H18)</f>
        <v>0</v>
      </c>
      <c r="O18" s="12"/>
      <c r="P18" s="3">
        <v>69997.289999999994</v>
      </c>
      <c r="Q18" s="3"/>
      <c r="R18" s="20">
        <f>IF(P$12=0,0,P18/P$12)</f>
        <v>0.60338413334822882</v>
      </c>
      <c r="S18" s="3"/>
      <c r="T18" s="3"/>
      <c r="U18" s="3"/>
      <c r="V18" s="20">
        <f>IF(T$12=0,0,T18/T$12)</f>
        <v>0</v>
      </c>
      <c r="W18" s="3"/>
      <c r="X18" s="3">
        <f>+P18-T18</f>
        <v>69997.289999999994</v>
      </c>
      <c r="Y18" s="3"/>
      <c r="Z18" s="20">
        <f>IF(T18=0,0,X18/T18)</f>
        <v>0</v>
      </c>
    </row>
    <row r="19" spans="1:26" ht="15" customHeight="1" x14ac:dyDescent="0.25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25">
      <c r="A20" s="11"/>
      <c r="B20" s="28" t="s">
        <v>289</v>
      </c>
      <c r="C20" s="28"/>
      <c r="D20" s="22">
        <f>D12-D16</f>
        <v>11581.519999999999</v>
      </c>
      <c r="E20" s="15"/>
      <c r="F20" s="21">
        <f>IF(D$12=0,0,D20/D$12)</f>
        <v>0.72533647312285887</v>
      </c>
      <c r="G20" s="15"/>
      <c r="H20" s="22">
        <f>H12-H16</f>
        <v>7022</v>
      </c>
      <c r="I20" s="15"/>
      <c r="J20" s="21">
        <f>IF(H$12=0,0,H20/H$12)</f>
        <v>0.51002324230098783</v>
      </c>
      <c r="K20" s="16"/>
      <c r="L20" s="22">
        <f>+D20-H20</f>
        <v>4559.5199999999986</v>
      </c>
      <c r="M20" s="16"/>
      <c r="N20" s="21">
        <f>IF(H20=0,0,L20/H20)</f>
        <v>0.6493192822557674</v>
      </c>
      <c r="O20" s="27"/>
      <c r="P20" s="22">
        <f>P12-P16</f>
        <v>54072.55</v>
      </c>
      <c r="Q20" s="15"/>
      <c r="R20" s="21">
        <f>IF(P$12=0,0,P20/P$12)</f>
        <v>0.46611116972783911</v>
      </c>
      <c r="S20" s="15"/>
      <c r="T20" s="22">
        <f>T12-T16</f>
        <v>78386</v>
      </c>
      <c r="U20" s="15"/>
      <c r="V20" s="21">
        <f>IF(T$12=0,0,T20/T$12)</f>
        <v>0.51001008490842248</v>
      </c>
      <c r="W20" s="16"/>
      <c r="X20" s="22">
        <f>+P20-T20</f>
        <v>-24313.449999999997</v>
      </c>
      <c r="Y20" s="16"/>
      <c r="Z20" s="21">
        <f>IF(T20=0,0,X20/T20)</f>
        <v>-0.31017592427219143</v>
      </c>
    </row>
    <row r="21" spans="1:26" ht="15" customHeight="1" x14ac:dyDescent="0.25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25">
      <c r="A22" s="11"/>
      <c r="B22" s="27" t="s">
        <v>290</v>
      </c>
      <c r="C22" s="11"/>
      <c r="D22" s="23" cm="1">
        <f t="array" ref="D22">SUM(OSRRefD22x_0)</f>
        <v>10632.47</v>
      </c>
      <c r="E22" s="23"/>
      <c r="F22" s="31">
        <f t="shared" ref="F22:F53" si="0">IF(D$12=0,0,D22/D$12)</f>
        <v>0.66589862905599639</v>
      </c>
      <c r="G22" s="23"/>
      <c r="H22" s="23" cm="1">
        <f t="array" ref="H22">SUM(OSRRefH22x_0)</f>
        <v>4809.0832547499995</v>
      </c>
      <c r="I22" s="23"/>
      <c r="J22" s="31">
        <f t="shared" ref="J22:J53" si="1">IF(H$12=0,0,H22/H$12)</f>
        <v>0.3492942515071179</v>
      </c>
      <c r="K22" s="5"/>
      <c r="L22" s="23">
        <f t="shared" ref="L22:L53" si="2">+D22-H22</f>
        <v>5823.3867452499999</v>
      </c>
      <c r="M22" s="5"/>
      <c r="N22" s="31">
        <f t="shared" ref="N22:N53" si="3">IF(H22=0,0,L22/H22)</f>
        <v>1.2109141049904175</v>
      </c>
      <c r="O22" s="11"/>
      <c r="P22" s="23" cm="1">
        <f t="array" ref="P22">SUM(OSRRefP22x_0)</f>
        <v>80695.979999999967</v>
      </c>
      <c r="Q22" s="23"/>
      <c r="R22" s="31">
        <f t="shared" ref="R22:R53" si="4">IF(P$12=0,0,P22/P$12)</f>
        <v>0.69560798649470557</v>
      </c>
      <c r="S22" s="23"/>
      <c r="T22" s="23" cm="1">
        <f t="array" ref="T22">SUM(OSRRefT22x_0)</f>
        <v>84596.158209000001</v>
      </c>
      <c r="U22" s="23"/>
      <c r="V22" s="31">
        <f t="shared" ref="V22:V53" si="5">IF(T$12=0,0,T22/T$12)</f>
        <v>0.5504158118936856</v>
      </c>
      <c r="W22" s="5"/>
      <c r="X22" s="23">
        <f t="shared" ref="X22:X53" si="6">+P22-T22</f>
        <v>-3900.1782090000343</v>
      </c>
      <c r="Y22" s="5"/>
      <c r="Z22" s="31">
        <f t="shared" ref="Z22:Z53" si="7">IF(T22=0,0,X22/T22)</f>
        <v>-4.610349088624574E-2</v>
      </c>
    </row>
    <row r="23" spans="1:26" s="69" customFormat="1" ht="15" customHeight="1" outlineLevel="1" collapsed="1" x14ac:dyDescent="0.25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2724.01</v>
      </c>
      <c r="E23" s="2"/>
      <c r="F23" s="6">
        <f t="shared" si="0"/>
        <v>0.17060142417846699</v>
      </c>
      <c r="G23" s="2"/>
      <c r="H23" s="2">
        <f>SUM(OSRRefH22_0x_0)</f>
        <v>134.90070474999999</v>
      </c>
      <c r="I23" s="2"/>
      <c r="J23" s="6">
        <f t="shared" si="1"/>
        <v>9.7981336977048215E-3</v>
      </c>
      <c r="K23" s="2"/>
      <c r="L23" s="2">
        <f t="shared" si="2"/>
        <v>2589.1092952500003</v>
      </c>
      <c r="M23" s="2"/>
      <c r="N23" s="6">
        <f t="shared" si="3"/>
        <v>19.19270399697449</v>
      </c>
      <c r="O23" s="14"/>
      <c r="P23" s="2">
        <f>SUM(OSRRefP22_0x_0)</f>
        <v>15089.869999999999</v>
      </c>
      <c r="Q23" s="2"/>
      <c r="R23" s="6">
        <f t="shared" si="4"/>
        <v>0.13007629484352093</v>
      </c>
      <c r="S23" s="2"/>
      <c r="T23" s="2">
        <f>SUM(OSRRefT22_0x_0)</f>
        <v>4308.9568089999993</v>
      </c>
      <c r="U23" s="2"/>
      <c r="V23" s="6">
        <f t="shared" si="5"/>
        <v>2.8035764397020067E-2</v>
      </c>
      <c r="W23" s="2"/>
      <c r="X23" s="2">
        <f t="shared" si="6"/>
        <v>10780.913191</v>
      </c>
      <c r="Y23" s="2"/>
      <c r="Z23" s="6">
        <f t="shared" si="7"/>
        <v>2.5019775479025927</v>
      </c>
    </row>
    <row r="24" spans="1:26" s="70" customFormat="1" ht="15" hidden="1" customHeight="1" outlineLevel="2" x14ac:dyDescent="0.25">
      <c r="A24" s="25"/>
      <c r="B24" s="12" t="str">
        <f>CONCATENATE("          ","6111"," - ","F.I.C.A.")</f>
        <v xml:space="preserve">          6111 - F.I.C.A.</v>
      </c>
      <c r="C24" s="12"/>
      <c r="D24" s="8">
        <v>449.07</v>
      </c>
      <c r="E24" s="3"/>
      <c r="F24" s="7">
        <f t="shared" si="0"/>
        <v>2.8124706427591739E-2</v>
      </c>
      <c r="G24" s="3"/>
      <c r="H24" s="8">
        <v>38.691654749999998</v>
      </c>
      <c r="I24" s="3"/>
      <c r="J24" s="7">
        <f t="shared" si="1"/>
        <v>2.8102596419233004E-3</v>
      </c>
      <c r="K24" s="3"/>
      <c r="L24" s="8">
        <f t="shared" si="2"/>
        <v>410.37834525</v>
      </c>
      <c r="M24" s="3"/>
      <c r="N24" s="7">
        <f t="shared" si="3"/>
        <v>10.60637876311041</v>
      </c>
      <c r="O24" s="12"/>
      <c r="P24" s="8">
        <v>2822.82</v>
      </c>
      <c r="Q24" s="3"/>
      <c r="R24" s="7">
        <f t="shared" si="4"/>
        <v>2.4333010596525203E-2</v>
      </c>
      <c r="S24" s="3"/>
      <c r="T24" s="8">
        <v>1321.3134090000001</v>
      </c>
      <c r="U24" s="3"/>
      <c r="V24" s="7">
        <f t="shared" si="5"/>
        <v>8.5969836949803188E-3</v>
      </c>
      <c r="W24" s="3"/>
      <c r="X24" s="8">
        <f t="shared" si="6"/>
        <v>1501.5065910000001</v>
      </c>
      <c r="Y24" s="3"/>
      <c r="Z24" s="7">
        <f t="shared" si="7"/>
        <v>1.1363742930122644</v>
      </c>
    </row>
    <row r="25" spans="1:26" s="70" customFormat="1" ht="15" hidden="1" customHeight="1" outlineLevel="2" x14ac:dyDescent="0.25">
      <c r="A25" s="25"/>
      <c r="B25" s="12" t="str">
        <f>CONCATENATE("          ","6112"," - ","COMPENSATION INSURANCE")</f>
        <v xml:space="preserve">          6112 - COMPENSATION INSURANCE</v>
      </c>
      <c r="C25" s="12"/>
      <c r="D25" s="8">
        <v>170.01</v>
      </c>
      <c r="E25" s="3"/>
      <c r="F25" s="7">
        <f t="shared" si="0"/>
        <v>1.0647518960863276E-2</v>
      </c>
      <c r="G25" s="3"/>
      <c r="H25" s="8">
        <v>52.090328499999998</v>
      </c>
      <c r="I25" s="3"/>
      <c r="J25" s="7">
        <f t="shared" si="1"/>
        <v>3.7834346673445668E-3</v>
      </c>
      <c r="K25" s="3"/>
      <c r="L25" s="8">
        <f t="shared" si="2"/>
        <v>117.91967149999999</v>
      </c>
      <c r="M25" s="3"/>
      <c r="N25" s="7">
        <f t="shared" si="3"/>
        <v>2.2637536543851895</v>
      </c>
      <c r="O25" s="12"/>
      <c r="P25" s="8">
        <v>664.24</v>
      </c>
      <c r="Q25" s="3"/>
      <c r="R25" s="7">
        <f t="shared" si="4"/>
        <v>5.7258199101026279E-3</v>
      </c>
      <c r="S25" s="3"/>
      <c r="T25" s="8">
        <v>1617.5954979999999</v>
      </c>
      <c r="U25" s="3"/>
      <c r="V25" s="7">
        <f t="shared" si="5"/>
        <v>1.0524711265818667E-2</v>
      </c>
      <c r="W25" s="3"/>
      <c r="X25" s="8">
        <f t="shared" si="6"/>
        <v>-953.3554979999999</v>
      </c>
      <c r="Y25" s="3"/>
      <c r="Z25" s="7">
        <f t="shared" si="7"/>
        <v>-0.58936582055200548</v>
      </c>
    </row>
    <row r="26" spans="1:26" s="70" customFormat="1" ht="15" hidden="1" customHeight="1" outlineLevel="2" x14ac:dyDescent="0.25">
      <c r="A26" s="25"/>
      <c r="B26" s="12" t="str">
        <f>CONCATENATE("          ","6113"," - ","GROUP INSURANCE")</f>
        <v xml:space="preserve">          6113 - GROUP INSURANCE</v>
      </c>
      <c r="C26" s="12"/>
      <c r="D26" s="8">
        <v>1284.4100000000001</v>
      </c>
      <c r="E26" s="3"/>
      <c r="F26" s="7">
        <f t="shared" si="0"/>
        <v>8.0441031871786375E-2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1284.4100000000001</v>
      </c>
      <c r="M26" s="3"/>
      <c r="N26" s="7">
        <f t="shared" si="3"/>
        <v>0</v>
      </c>
      <c r="O26" s="12"/>
      <c r="P26" s="8">
        <v>6455.89</v>
      </c>
      <c r="Q26" s="3"/>
      <c r="R26" s="7">
        <f t="shared" si="4"/>
        <v>5.5650462934229275E-2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6455.89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29.87</v>
      </c>
      <c r="E27" s="3"/>
      <c r="F27" s="7">
        <f t="shared" si="0"/>
        <v>1.8707216714368923E-3</v>
      </c>
      <c r="G27" s="3"/>
      <c r="H27" s="8">
        <v>2.8862714999999999</v>
      </c>
      <c r="I27" s="3"/>
      <c r="J27" s="7">
        <f t="shared" si="1"/>
        <v>2.0963622167344566E-4</v>
      </c>
      <c r="K27" s="3"/>
      <c r="L27" s="8">
        <f t="shared" si="2"/>
        <v>26.983728500000002</v>
      </c>
      <c r="M27" s="3"/>
      <c r="N27" s="7">
        <f t="shared" si="3"/>
        <v>9.3489917701782392</v>
      </c>
      <c r="O27" s="12"/>
      <c r="P27" s="8">
        <v>114.96</v>
      </c>
      <c r="Q27" s="3"/>
      <c r="R27" s="7">
        <f t="shared" si="4"/>
        <v>9.9096750702366322E-4</v>
      </c>
      <c r="S27" s="3"/>
      <c r="T27" s="8">
        <v>89.629301999999996</v>
      </c>
      <c r="U27" s="3"/>
      <c r="V27" s="7">
        <f t="shared" si="5"/>
        <v>5.8316342106119257E-4</v>
      </c>
      <c r="W27" s="3"/>
      <c r="X27" s="8">
        <f t="shared" si="6"/>
        <v>25.330697999999998</v>
      </c>
      <c r="Y27" s="3"/>
      <c r="Z27" s="7">
        <f t="shared" si="7"/>
        <v>0.28261625868736545</v>
      </c>
    </row>
    <row r="28" spans="1:26" s="70" customFormat="1" ht="15" hidden="1" customHeight="1" outlineLevel="2" x14ac:dyDescent="0.25">
      <c r="A28" s="25"/>
      <c r="B28" s="12" t="str">
        <f>CONCATENATE("          ","6115"," - ","P.E.R.S.")</f>
        <v xml:space="preserve">          6115 - P.E.R.S.</v>
      </c>
      <c r="C28" s="12"/>
      <c r="D28" s="8"/>
      <c r="E28" s="3"/>
      <c r="F28" s="7">
        <f t="shared" si="0"/>
        <v>0</v>
      </c>
      <c r="G28" s="3"/>
      <c r="H28" s="8">
        <v>0</v>
      </c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/>
      <c r="Q28" s="3"/>
      <c r="R28" s="7">
        <f t="shared" si="4"/>
        <v>0</v>
      </c>
      <c r="S28" s="3"/>
      <c r="T28" s="8">
        <v>0</v>
      </c>
      <c r="U28" s="3"/>
      <c r="V28" s="7">
        <f t="shared" si="5"/>
        <v>0</v>
      </c>
      <c r="W28" s="3"/>
      <c r="X28" s="8">
        <f t="shared" si="6"/>
        <v>0</v>
      </c>
      <c r="Y28" s="3"/>
      <c r="Z28" s="7">
        <f t="shared" si="7"/>
        <v>0</v>
      </c>
    </row>
    <row r="29" spans="1:26" s="70" customFormat="1" ht="15" hidden="1" customHeight="1" outlineLevel="2" x14ac:dyDescent="0.25">
      <c r="A29" s="25"/>
      <c r="B29" s="12" t="str">
        <f>CONCATENATE("          ","6116"," - ","EDUCATIONAL BENEFITS")</f>
        <v xml:space="preserve">          6116 - EDUCATIONAL BENEFITS</v>
      </c>
      <c r="C29" s="12"/>
      <c r="D29" s="8"/>
      <c r="E29" s="3"/>
      <c r="F29" s="7">
        <f t="shared" si="0"/>
        <v>0</v>
      </c>
      <c r="G29" s="3"/>
      <c r="H29" s="8">
        <v>0</v>
      </c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0</v>
      </c>
      <c r="U29" s="3"/>
      <c r="V29" s="7">
        <f t="shared" si="5"/>
        <v>0</v>
      </c>
      <c r="W29" s="3"/>
      <c r="X29" s="8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25">
      <c r="A30" s="25"/>
      <c r="B30" s="12" t="str">
        <f>CONCATENATE("          ","6117"," - ","RETIREMENT STAFF HOURLY")</f>
        <v xml:space="preserve">          6117 - RETIREMENT STAFF HOURLY</v>
      </c>
      <c r="C30" s="12"/>
      <c r="D30" s="8">
        <v>211.83</v>
      </c>
      <c r="E30" s="3"/>
      <c r="F30" s="7">
        <f t="shared" si="0"/>
        <v>1.3266654558435785E-2</v>
      </c>
      <c r="G30" s="3"/>
      <c r="H30" s="8"/>
      <c r="I30" s="3"/>
      <c r="J30" s="7">
        <f t="shared" si="1"/>
        <v>0</v>
      </c>
      <c r="K30" s="3"/>
      <c r="L30" s="8">
        <f t="shared" si="2"/>
        <v>211.83</v>
      </c>
      <c r="M30" s="3"/>
      <c r="N30" s="7">
        <f t="shared" si="3"/>
        <v>0</v>
      </c>
      <c r="O30" s="12"/>
      <c r="P30" s="8">
        <v>1180.49</v>
      </c>
      <c r="Q30" s="3"/>
      <c r="R30" s="7">
        <f t="shared" si="4"/>
        <v>1.017595017716044E-2</v>
      </c>
      <c r="S30" s="3"/>
      <c r="T30" s="8"/>
      <c r="U30" s="3"/>
      <c r="V30" s="7">
        <f t="shared" si="5"/>
        <v>0</v>
      </c>
      <c r="W30" s="3"/>
      <c r="X30" s="8">
        <f t="shared" si="6"/>
        <v>1180.49</v>
      </c>
      <c r="Y30" s="3"/>
      <c r="Z30" s="7">
        <f t="shared" si="7"/>
        <v>0</v>
      </c>
    </row>
    <row r="31" spans="1:26" s="70" customFormat="1" ht="15" hidden="1" customHeight="1" outlineLevel="2" x14ac:dyDescent="0.25">
      <c r="A31" s="25"/>
      <c r="B31" s="12" t="str">
        <f>CONCATENATE("          ","6118"," - ","VACATION")</f>
        <v xml:space="preserve">          6118 - VACATION</v>
      </c>
      <c r="C31" s="12"/>
      <c r="D31" s="8">
        <v>163.24</v>
      </c>
      <c r="E31" s="3"/>
      <c r="F31" s="7">
        <f t="shared" si="0"/>
        <v>1.0223522117353809E-2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163.24</v>
      </c>
      <c r="M31" s="3"/>
      <c r="N31" s="7">
        <f t="shared" si="3"/>
        <v>0</v>
      </c>
      <c r="O31" s="12"/>
      <c r="P31" s="8">
        <v>1142.68</v>
      </c>
      <c r="Q31" s="3"/>
      <c r="R31" s="7">
        <f t="shared" si="4"/>
        <v>9.850023929417185E-3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1142.68</v>
      </c>
      <c r="Y31" s="3"/>
      <c r="Z31" s="7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","6119"," - ","SICK LEAVE")</f>
        <v xml:space="preserve">          6119 - SICK LEAVE</v>
      </c>
      <c r="C32" s="12"/>
      <c r="D32" s="8">
        <v>195.58</v>
      </c>
      <c r="E32" s="3"/>
      <c r="F32" s="7">
        <f t="shared" si="0"/>
        <v>1.2248936876452206E-2</v>
      </c>
      <c r="G32" s="3"/>
      <c r="H32" s="8">
        <v>41.23245</v>
      </c>
      <c r="I32" s="3"/>
      <c r="J32" s="7">
        <f t="shared" si="1"/>
        <v>2.9948031667635096E-3</v>
      </c>
      <c r="K32" s="3"/>
      <c r="L32" s="8">
        <f t="shared" si="2"/>
        <v>154.34755000000001</v>
      </c>
      <c r="M32" s="3"/>
      <c r="N32" s="7">
        <f t="shared" si="3"/>
        <v>3.7433514137530031</v>
      </c>
      <c r="O32" s="12"/>
      <c r="P32" s="8">
        <v>1369.06</v>
      </c>
      <c r="Q32" s="3"/>
      <c r="R32" s="7">
        <f t="shared" si="4"/>
        <v>1.18014437644904E-2</v>
      </c>
      <c r="S32" s="3"/>
      <c r="T32" s="8">
        <v>1280.4186</v>
      </c>
      <c r="U32" s="3"/>
      <c r="V32" s="7">
        <f t="shared" si="5"/>
        <v>8.3309060151598949E-3</v>
      </c>
      <c r="W32" s="3"/>
      <c r="X32" s="8">
        <f t="shared" si="6"/>
        <v>88.641399999999976</v>
      </c>
      <c r="Y32" s="3"/>
      <c r="Z32" s="7">
        <f t="shared" si="7"/>
        <v>6.9228453882191329E-2</v>
      </c>
    </row>
    <row r="33" spans="1:26" s="70" customFormat="1" ht="15" hidden="1" customHeight="1" outlineLevel="2" x14ac:dyDescent="0.25">
      <c r="A33" s="25"/>
      <c r="B33" s="12" t="str">
        <f>CONCATENATE("          ","6156"," - ","EMPLOYEE MEALS")</f>
        <v xml:space="preserve">          6156 - EMPLOYEE MEALS</v>
      </c>
      <c r="C33" s="12"/>
      <c r="D33" s="8">
        <v>220</v>
      </c>
      <c r="E33" s="3"/>
      <c r="F33" s="7">
        <f t="shared" si="0"/>
        <v>1.3778331694546913E-2</v>
      </c>
      <c r="G33" s="3"/>
      <c r="H33" s="8"/>
      <c r="I33" s="3"/>
      <c r="J33" s="7">
        <f t="shared" si="1"/>
        <v>0</v>
      </c>
      <c r="K33" s="3"/>
      <c r="L33" s="8">
        <f t="shared" si="2"/>
        <v>220</v>
      </c>
      <c r="M33" s="3"/>
      <c r="N33" s="7">
        <f t="shared" si="3"/>
        <v>0</v>
      </c>
      <c r="O33" s="12"/>
      <c r="P33" s="8">
        <v>1339.73</v>
      </c>
      <c r="Q33" s="3"/>
      <c r="R33" s="7">
        <f t="shared" si="4"/>
        <v>1.1548616024572134E-2</v>
      </c>
      <c r="S33" s="3"/>
      <c r="T33" s="8"/>
      <c r="U33" s="3"/>
      <c r="V33" s="7">
        <f t="shared" si="5"/>
        <v>0</v>
      </c>
      <c r="W33" s="3"/>
      <c r="X33" s="8">
        <f t="shared" si="6"/>
        <v>1339.73</v>
      </c>
      <c r="Y33" s="3"/>
      <c r="Z33" s="7">
        <f t="shared" si="7"/>
        <v>0</v>
      </c>
    </row>
    <row r="34" spans="1:26" s="69" customFormat="1" ht="15" customHeight="1" outlineLevel="1" collapsed="1" x14ac:dyDescent="0.25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6542.08</v>
      </c>
      <c r="E34" s="2"/>
      <c r="F34" s="6">
        <f t="shared" si="0"/>
        <v>0.4097224918739158</v>
      </c>
      <c r="G34" s="2"/>
      <c r="H34" s="2">
        <f>SUM(OSRRefH22_1x_0)</f>
        <v>1333.18255</v>
      </c>
      <c r="I34" s="2"/>
      <c r="J34" s="6">
        <f t="shared" si="1"/>
        <v>9.6831969058686809E-2</v>
      </c>
      <c r="K34" s="2"/>
      <c r="L34" s="2">
        <f t="shared" si="2"/>
        <v>5208.8974500000004</v>
      </c>
      <c r="M34" s="2"/>
      <c r="N34" s="6">
        <f t="shared" si="3"/>
        <v>3.9071149333600266</v>
      </c>
      <c r="O34" s="14"/>
      <c r="P34" s="2">
        <f>SUM(OSRRefP22_1x_0)</f>
        <v>44364.87</v>
      </c>
      <c r="Q34" s="2"/>
      <c r="R34" s="6">
        <f t="shared" si="4"/>
        <v>0.3824299288737727</v>
      </c>
      <c r="S34" s="2"/>
      <c r="T34" s="2">
        <f>SUM(OSRRefT22_1x_0)</f>
        <v>41400.201400000005</v>
      </c>
      <c r="U34" s="2"/>
      <c r="V34" s="6">
        <f t="shared" si="5"/>
        <v>0.26936596115683664</v>
      </c>
      <c r="W34" s="2"/>
      <c r="X34" s="2">
        <f t="shared" si="6"/>
        <v>2964.6685999999972</v>
      </c>
      <c r="Y34" s="2"/>
      <c r="Z34" s="6">
        <f t="shared" si="7"/>
        <v>7.1610004293360674E-2</v>
      </c>
    </row>
    <row r="35" spans="1:26" s="70" customFormat="1" ht="15" hidden="1" customHeight="1" outlineLevel="2" x14ac:dyDescent="0.25">
      <c r="A35" s="25"/>
      <c r="B35" s="12" t="str">
        <f>CONCATENATE("          ","6001"," - ","ADMINISTRATIVE SALARIES")</f>
        <v xml:space="preserve">          6001 - ADMINISTRATIVE SALARIES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","6002"," - ","STAFF SALARIES")</f>
        <v xml:space="preserve">          6002 - STAFF SALARIES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","6003"," - ","STAFF HOURLY-9 MONTH")</f>
        <v xml:space="preserve">          6003 - STAFF HOURLY-9 MONTH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","6004"," - ","STAFF HOURLY")</f>
        <v xml:space="preserve">          6004 - STAFF HOURLY</v>
      </c>
      <c r="C38" s="12"/>
      <c r="D38" s="8">
        <v>3994.09</v>
      </c>
      <c r="E38" s="3"/>
      <c r="F38" s="7">
        <f t="shared" si="0"/>
        <v>0.2501449856266949</v>
      </c>
      <c r="G38" s="3"/>
      <c r="H38" s="8">
        <v>490.40775000000002</v>
      </c>
      <c r="I38" s="3"/>
      <c r="J38" s="7">
        <f t="shared" si="1"/>
        <v>3.5619389163277164E-2</v>
      </c>
      <c r="K38" s="3"/>
      <c r="L38" s="8">
        <f t="shared" si="2"/>
        <v>3503.6822500000003</v>
      </c>
      <c r="M38" s="3"/>
      <c r="N38" s="7">
        <f t="shared" si="3"/>
        <v>7.1444267550828879</v>
      </c>
      <c r="O38" s="12"/>
      <c r="P38" s="8">
        <v>28627.08</v>
      </c>
      <c r="Q38" s="3"/>
      <c r="R38" s="7">
        <f t="shared" si="4"/>
        <v>0.24676849426728403</v>
      </c>
      <c r="S38" s="3"/>
      <c r="T38" s="8">
        <v>16747.341</v>
      </c>
      <c r="U38" s="3"/>
      <c r="V38" s="7">
        <f t="shared" si="5"/>
        <v>0.108964774390839</v>
      </c>
      <c r="W38" s="3"/>
      <c r="X38" s="8">
        <f t="shared" si="6"/>
        <v>11879.739000000001</v>
      </c>
      <c r="Y38" s="3"/>
      <c r="Z38" s="7">
        <f t="shared" si="7"/>
        <v>0.70935075603942144</v>
      </c>
    </row>
    <row r="39" spans="1:26" s="70" customFormat="1" ht="15" hidden="1" customHeight="1" outlineLevel="2" x14ac:dyDescent="0.25">
      <c r="A39" s="25"/>
      <c r="B39" s="12" t="str">
        <f>CONCATENATE("          ","6005"," - ","TEMPORARY WAGES-HOURLY")</f>
        <v xml:space="preserve">          6005 - TEMPORARY WAGES-HOURLY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>
        <v>638.94000000000005</v>
      </c>
      <c r="Q39" s="3"/>
      <c r="R39" s="7">
        <f t="shared" si="4"/>
        <v>5.50773120161534E-3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638.94000000000005</v>
      </c>
      <c r="Y39" s="3"/>
      <c r="Z39" s="7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","6006"," - ","TEMPORARY PART TIME")</f>
        <v xml:space="preserve">          6006 - TEMPORARY PART TIME</v>
      </c>
      <c r="C40" s="12"/>
      <c r="D40" s="8">
        <v>1589.04</v>
      </c>
      <c r="E40" s="3"/>
      <c r="F40" s="7">
        <f t="shared" si="0"/>
        <v>9.951963725410376E-2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1589.04</v>
      </c>
      <c r="M40" s="3"/>
      <c r="N40" s="7">
        <f t="shared" si="3"/>
        <v>0</v>
      </c>
      <c r="O40" s="12"/>
      <c r="P40" s="8">
        <v>6791.04</v>
      </c>
      <c r="Q40" s="3"/>
      <c r="R40" s="7">
        <f t="shared" si="4"/>
        <v>5.8539491813656731E-2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6791.04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","6007"," - ","STUDENT HOURLY")</f>
        <v xml:space="preserve">          6007 - STUDENT HOURLY</v>
      </c>
      <c r="C41" s="12"/>
      <c r="D41" s="8">
        <v>662.4</v>
      </c>
      <c r="E41" s="3"/>
      <c r="F41" s="7">
        <f t="shared" si="0"/>
        <v>4.1485304156672162E-2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662.4</v>
      </c>
      <c r="M41" s="3"/>
      <c r="N41" s="7">
        <f t="shared" si="3"/>
        <v>0</v>
      </c>
      <c r="O41" s="12"/>
      <c r="P41" s="8">
        <v>6285.66</v>
      </c>
      <c r="Q41" s="3"/>
      <c r="R41" s="7">
        <f t="shared" si="4"/>
        <v>5.4183062110284959E-2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6285.66</v>
      </c>
      <c r="Y41" s="3"/>
      <c r="Z41" s="7">
        <f t="shared" si="7"/>
        <v>0</v>
      </c>
    </row>
    <row r="42" spans="1:26" s="70" customFormat="1" ht="15" hidden="1" customHeight="1" outlineLevel="2" x14ac:dyDescent="0.25">
      <c r="A42" s="25"/>
      <c r="B42" s="12" t="str">
        <f>CONCATENATE("          ","6008"," - ","STUDENT HOURLY-FICA EXEMPT")</f>
        <v xml:space="preserve">          6008 - STUDENT HOURLY-FICA EXEMPT</v>
      </c>
      <c r="C42" s="12"/>
      <c r="D42" s="8">
        <v>296.55</v>
      </c>
      <c r="E42" s="3"/>
      <c r="F42" s="7">
        <f t="shared" si="0"/>
        <v>1.8572564836444941E-2</v>
      </c>
      <c r="G42" s="3"/>
      <c r="H42" s="8">
        <v>842.77480000000003</v>
      </c>
      <c r="I42" s="3"/>
      <c r="J42" s="7">
        <f t="shared" si="1"/>
        <v>6.1212579895409645E-2</v>
      </c>
      <c r="K42" s="3"/>
      <c r="L42" s="8">
        <f t="shared" si="2"/>
        <v>-546.22479999999996</v>
      </c>
      <c r="M42" s="3"/>
      <c r="N42" s="7">
        <f t="shared" si="3"/>
        <v>-0.64812664071113657</v>
      </c>
      <c r="O42" s="12"/>
      <c r="P42" s="8">
        <v>2022.15</v>
      </c>
      <c r="Q42" s="3"/>
      <c r="R42" s="7">
        <f t="shared" si="4"/>
        <v>1.7431149480931635E-2</v>
      </c>
      <c r="S42" s="3"/>
      <c r="T42" s="8">
        <v>24652.860400000001</v>
      </c>
      <c r="U42" s="3"/>
      <c r="V42" s="7">
        <f t="shared" si="5"/>
        <v>0.1604011867659976</v>
      </c>
      <c r="W42" s="3"/>
      <c r="X42" s="8">
        <f t="shared" si="6"/>
        <v>-22630.7104</v>
      </c>
      <c r="Y42" s="3"/>
      <c r="Z42" s="7">
        <f t="shared" si="7"/>
        <v>-0.91797503546485015</v>
      </c>
    </row>
    <row r="43" spans="1:26" s="70" customFormat="1" ht="15" hidden="1" customHeight="1" outlineLevel="2" x14ac:dyDescent="0.25">
      <c r="A43" s="25"/>
      <c r="B43" s="12" t="str">
        <f>CONCATENATE("          ","6009"," - ","TEMPORARY-SEASONAL")</f>
        <v xml:space="preserve">          6009 - TEMPORARY-SEASONAL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","6010"," - ","GRATUITY")</f>
        <v xml:space="preserve">          6010 - GRATUITY</v>
      </c>
      <c r="C44" s="12"/>
      <c r="D44" s="8"/>
      <c r="E44" s="3"/>
      <c r="F44" s="7">
        <f t="shared" si="0"/>
        <v>0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customHeight="1" outlineLevel="1" collapsed="1" x14ac:dyDescent="0.25">
      <c r="A45" s="26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0</v>
      </c>
      <c r="E45" s="2"/>
      <c r="F45" s="6">
        <f t="shared" si="0"/>
        <v>0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SUM(OSRRefP22_2x_0)</f>
        <v>487.64</v>
      </c>
      <c r="Q45" s="2"/>
      <c r="R45" s="6">
        <f t="shared" si="4"/>
        <v>4.2035090042190255E-3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487.64</v>
      </c>
      <c r="Y45" s="2"/>
      <c r="Z45" s="6">
        <f t="shared" si="7"/>
        <v>0</v>
      </c>
    </row>
    <row r="46" spans="1:26" s="70" customFormat="1" ht="15" hidden="1" customHeight="1" outlineLevel="2" x14ac:dyDescent="0.25">
      <c r="A46" s="25"/>
      <c r="B46" s="12" t="str">
        <f>CONCATENATE("          ","6362"," - ","ADVERTISING EXPENSE")</f>
        <v xml:space="preserve">          6362 - ADVERTISING EXPENSE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487.64</v>
      </c>
      <c r="Q46" s="3"/>
      <c r="R46" s="7">
        <f t="shared" si="4"/>
        <v>4.2035090042190255E-3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487.64</v>
      </c>
      <c r="Y46" s="3"/>
      <c r="Z46" s="7">
        <f t="shared" si="7"/>
        <v>0</v>
      </c>
    </row>
    <row r="47" spans="1:26" s="69" customFormat="1" ht="15" customHeight="1" outlineLevel="1" collapsed="1" x14ac:dyDescent="0.25">
      <c r="A47" s="26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-6.36</v>
      </c>
      <c r="E47" s="2"/>
      <c r="F47" s="6">
        <f t="shared" si="0"/>
        <v>-3.9831904353326532E-4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-6.36</v>
      </c>
      <c r="M47" s="2"/>
      <c r="N47" s="6">
        <f t="shared" si="3"/>
        <v>0</v>
      </c>
      <c r="O47" s="14"/>
      <c r="P47" s="2">
        <f>SUM(OSRRefP22_3x_0)</f>
        <v>-12.74</v>
      </c>
      <c r="Q47" s="2"/>
      <c r="R47" s="6">
        <f t="shared" si="4"/>
        <v>-1.0982016387857925E-4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-12.74</v>
      </c>
      <c r="Y47" s="2"/>
      <c r="Z47" s="6">
        <f t="shared" si="7"/>
        <v>0</v>
      </c>
    </row>
    <row r="48" spans="1:26" s="70" customFormat="1" ht="15" hidden="1" customHeight="1" outlineLevel="2" x14ac:dyDescent="0.25">
      <c r="A48" s="25"/>
      <c r="B48" s="12" t="str">
        <f>CONCATENATE("          ","6272"," - ","CASH (OVER/SHORT)")</f>
        <v xml:space="preserve">          6272 - CASH (OVER/SHORT)</v>
      </c>
      <c r="C48" s="12"/>
      <c r="D48" s="8">
        <v>-6.36</v>
      </c>
      <c r="E48" s="3"/>
      <c r="F48" s="7">
        <f t="shared" si="0"/>
        <v>-3.9831904353326532E-4</v>
      </c>
      <c r="G48" s="3"/>
      <c r="H48" s="8"/>
      <c r="I48" s="3"/>
      <c r="J48" s="7">
        <f t="shared" si="1"/>
        <v>0</v>
      </c>
      <c r="K48" s="3"/>
      <c r="L48" s="8">
        <f t="shared" si="2"/>
        <v>-6.36</v>
      </c>
      <c r="M48" s="3"/>
      <c r="N48" s="7">
        <f t="shared" si="3"/>
        <v>0</v>
      </c>
      <c r="O48" s="12"/>
      <c r="P48" s="8">
        <v>-12.74</v>
      </c>
      <c r="Q48" s="3"/>
      <c r="R48" s="7">
        <f t="shared" si="4"/>
        <v>-1.0982016387857925E-4</v>
      </c>
      <c r="S48" s="3"/>
      <c r="T48" s="8"/>
      <c r="U48" s="3"/>
      <c r="V48" s="7">
        <f t="shared" si="5"/>
        <v>0</v>
      </c>
      <c r="W48" s="3"/>
      <c r="X48" s="8">
        <f t="shared" si="6"/>
        <v>-12.74</v>
      </c>
      <c r="Y48" s="3"/>
      <c r="Z48" s="7">
        <f t="shared" si="7"/>
        <v>0</v>
      </c>
    </row>
    <row r="49" spans="1:26" s="69" customFormat="1" ht="15" customHeight="1" outlineLevel="1" collapsed="1" x14ac:dyDescent="0.25">
      <c r="A49" s="26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565.12</v>
      </c>
      <c r="E49" s="2"/>
      <c r="F49" s="6">
        <f t="shared" si="0"/>
        <v>3.5392776396465236E-2</v>
      </c>
      <c r="G49" s="2"/>
      <c r="H49" s="2">
        <f>SUM(OSRRefH22_4x_0)</f>
        <v>469</v>
      </c>
      <c r="I49" s="2"/>
      <c r="J49" s="6">
        <f t="shared" si="1"/>
        <v>3.4064497385241137E-2</v>
      </c>
      <c r="K49" s="2"/>
      <c r="L49" s="2">
        <f t="shared" si="2"/>
        <v>96.12</v>
      </c>
      <c r="M49" s="2"/>
      <c r="N49" s="6">
        <f t="shared" si="3"/>
        <v>0.20494669509594884</v>
      </c>
      <c r="O49" s="14"/>
      <c r="P49" s="2">
        <f>SUM(OSRRefP22_4x_0)</f>
        <v>4917.3900000000003</v>
      </c>
      <c r="Q49" s="2"/>
      <c r="R49" s="6">
        <f t="shared" si="4"/>
        <v>4.2388428230367883E-2</v>
      </c>
      <c r="S49" s="2"/>
      <c r="T49" s="2">
        <f>SUM(OSRRefT22_4x_0)</f>
        <v>5241</v>
      </c>
      <c r="U49" s="2"/>
      <c r="V49" s="6">
        <f t="shared" si="5"/>
        <v>3.4100003253196266E-2</v>
      </c>
      <c r="W49" s="2"/>
      <c r="X49" s="2">
        <f t="shared" si="6"/>
        <v>-323.60999999999967</v>
      </c>
      <c r="Y49" s="2"/>
      <c r="Z49" s="6">
        <f t="shared" si="7"/>
        <v>-6.174585002862043E-2</v>
      </c>
    </row>
    <row r="50" spans="1:26" s="70" customFormat="1" ht="15" hidden="1" customHeight="1" outlineLevel="2" x14ac:dyDescent="0.25">
      <c r="A50" s="25"/>
      <c r="B50" s="12" t="str">
        <f>CONCATENATE("          ","6381"," - ","BANK/CREDIT CARD FEES")</f>
        <v xml:space="preserve">          6381 - BANK/CREDIT CARD FEES</v>
      </c>
      <c r="C50" s="12"/>
      <c r="D50" s="8">
        <v>565.12</v>
      </c>
      <c r="E50" s="3"/>
      <c r="F50" s="7">
        <f t="shared" si="0"/>
        <v>3.5392776396465236E-2</v>
      </c>
      <c r="G50" s="3"/>
      <c r="H50" s="8">
        <v>469</v>
      </c>
      <c r="I50" s="3"/>
      <c r="J50" s="7">
        <f t="shared" si="1"/>
        <v>3.4064497385241137E-2</v>
      </c>
      <c r="K50" s="3"/>
      <c r="L50" s="8">
        <f t="shared" si="2"/>
        <v>96.12</v>
      </c>
      <c r="M50" s="3"/>
      <c r="N50" s="7">
        <f t="shared" si="3"/>
        <v>0.20494669509594884</v>
      </c>
      <c r="O50" s="12"/>
      <c r="P50" s="8">
        <v>4917.3900000000003</v>
      </c>
      <c r="Q50" s="3"/>
      <c r="R50" s="7">
        <f t="shared" si="4"/>
        <v>4.2388428230367883E-2</v>
      </c>
      <c r="S50" s="3"/>
      <c r="T50" s="8">
        <v>5241</v>
      </c>
      <c r="U50" s="3"/>
      <c r="V50" s="7">
        <f t="shared" si="5"/>
        <v>3.4100003253196266E-2</v>
      </c>
      <c r="W50" s="3"/>
      <c r="X50" s="8">
        <f t="shared" si="6"/>
        <v>-323.60999999999967</v>
      </c>
      <c r="Y50" s="3"/>
      <c r="Z50" s="7">
        <f t="shared" si="7"/>
        <v>-6.174585002862043E-2</v>
      </c>
    </row>
    <row r="51" spans="1:26" s="69" customFormat="1" ht="15" customHeight="1" outlineLevel="1" collapsed="1" x14ac:dyDescent="0.25">
      <c r="A51" s="26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264.56</v>
      </c>
      <c r="E51" s="2"/>
      <c r="F51" s="6">
        <f t="shared" si="0"/>
        <v>1.656907015049696E-2</v>
      </c>
      <c r="G51" s="2"/>
      <c r="H51" s="2">
        <f>SUM(OSRRefH22_5x_0)</f>
        <v>265</v>
      </c>
      <c r="I51" s="2"/>
      <c r="J51" s="6">
        <f t="shared" si="1"/>
        <v>1.9247530505520045E-2</v>
      </c>
      <c r="K51" s="2"/>
      <c r="L51" s="2">
        <f t="shared" si="2"/>
        <v>-0.43999999999999773</v>
      </c>
      <c r="M51" s="2"/>
      <c r="N51" s="6">
        <f t="shared" si="3"/>
        <v>-1.6603773584905575E-3</v>
      </c>
      <c r="O51" s="14"/>
      <c r="P51" s="2">
        <f>SUM(OSRRefP22_5x_0)</f>
        <v>5342.92</v>
      </c>
      <c r="Q51" s="2"/>
      <c r="R51" s="6">
        <f t="shared" si="4"/>
        <v>4.6056542385411195E-2</v>
      </c>
      <c r="S51" s="2"/>
      <c r="T51" s="2">
        <f>SUM(OSRRefT22_5x_0)</f>
        <v>5345</v>
      </c>
      <c r="U51" s="2"/>
      <c r="V51" s="6">
        <f t="shared" si="5"/>
        <v>3.4776668076385048E-2</v>
      </c>
      <c r="W51" s="2"/>
      <c r="X51" s="2">
        <f t="shared" si="6"/>
        <v>-2.0799999999999272</v>
      </c>
      <c r="Y51" s="2"/>
      <c r="Z51" s="6">
        <f t="shared" si="7"/>
        <v>-3.8914873713749809E-4</v>
      </c>
    </row>
    <row r="52" spans="1:26" s="70" customFormat="1" ht="15" hidden="1" customHeight="1" outlineLevel="2" x14ac:dyDescent="0.25">
      <c r="A52" s="25"/>
      <c r="B52" s="12" t="str">
        <f>CONCATENATE("          ","6322"," - ","EQUIPMENT DEPRECIATION EXPENSE")</f>
        <v xml:space="preserve">          6322 - EQUIPMENT DEPRECIATION EXPENSE</v>
      </c>
      <c r="C52" s="12"/>
      <c r="D52" s="8">
        <v>264.56</v>
      </c>
      <c r="E52" s="3"/>
      <c r="F52" s="7">
        <f t="shared" si="0"/>
        <v>1.656907015049696E-2</v>
      </c>
      <c r="G52" s="3"/>
      <c r="H52" s="8">
        <v>265</v>
      </c>
      <c r="I52" s="3"/>
      <c r="J52" s="7">
        <f t="shared" si="1"/>
        <v>1.9247530505520045E-2</v>
      </c>
      <c r="K52" s="3"/>
      <c r="L52" s="8">
        <f t="shared" si="2"/>
        <v>-0.43999999999999773</v>
      </c>
      <c r="M52" s="3"/>
      <c r="N52" s="7">
        <f t="shared" si="3"/>
        <v>-1.6603773584905575E-3</v>
      </c>
      <c r="O52" s="12"/>
      <c r="P52" s="8">
        <v>5342.92</v>
      </c>
      <c r="Q52" s="3"/>
      <c r="R52" s="7">
        <f t="shared" si="4"/>
        <v>4.6056542385411195E-2</v>
      </c>
      <c r="S52" s="3"/>
      <c r="T52" s="8">
        <v>5345</v>
      </c>
      <c r="U52" s="3"/>
      <c r="V52" s="7">
        <f t="shared" si="5"/>
        <v>3.4776668076385048E-2</v>
      </c>
      <c r="W52" s="3"/>
      <c r="X52" s="8">
        <f t="shared" si="6"/>
        <v>-2.0799999999999272</v>
      </c>
      <c r="Y52" s="3"/>
      <c r="Z52" s="7">
        <f t="shared" si="7"/>
        <v>-3.8914873713749809E-4</v>
      </c>
    </row>
    <row r="53" spans="1:26" s="69" customFormat="1" ht="15" customHeight="1" outlineLevel="1" collapsed="1" x14ac:dyDescent="0.25">
      <c r="A53" s="26"/>
      <c r="B53" s="14" t="str">
        <f>CONCATENATE("     ","General                                           ")</f>
        <v xml:space="preserve">     General                                           </v>
      </c>
      <c r="C53" s="14"/>
      <c r="D53" s="2">
        <f>SUM(OSRRefD22_6x_0)</f>
        <v>0</v>
      </c>
      <c r="E53" s="2"/>
      <c r="F53" s="6">
        <f t="shared" si="0"/>
        <v>0</v>
      </c>
      <c r="G53" s="2"/>
      <c r="H53" s="2">
        <f>SUM(OSRRefH22_6x_0)</f>
        <v>0</v>
      </c>
      <c r="I53" s="2"/>
      <c r="J53" s="6">
        <f t="shared" si="1"/>
        <v>0</v>
      </c>
      <c r="K53" s="2"/>
      <c r="L53" s="2">
        <f t="shared" si="2"/>
        <v>0</v>
      </c>
      <c r="M53" s="2"/>
      <c r="N53" s="6">
        <f t="shared" si="3"/>
        <v>0</v>
      </c>
      <c r="O53" s="14"/>
      <c r="P53" s="2">
        <f>SUM(OSRRefP22_6x_0)</f>
        <v>1153.93</v>
      </c>
      <c r="Q53" s="2"/>
      <c r="R53" s="6">
        <f t="shared" si="4"/>
        <v>9.9470001337840629E-3</v>
      </c>
      <c r="S53" s="2"/>
      <c r="T53" s="2">
        <f>SUM(OSRRefT22_6x_0)</f>
        <v>755</v>
      </c>
      <c r="U53" s="2"/>
      <c r="V53" s="6">
        <f t="shared" si="5"/>
        <v>4.9123263606493384E-3</v>
      </c>
      <c r="W53" s="2"/>
      <c r="X53" s="2">
        <f t="shared" si="6"/>
        <v>398.93000000000006</v>
      </c>
      <c r="Y53" s="2"/>
      <c r="Z53" s="6">
        <f t="shared" si="7"/>
        <v>0.52838410596026497</v>
      </c>
    </row>
    <row r="54" spans="1:26" s="70" customFormat="1" ht="15" hidden="1" customHeight="1" outlineLevel="2" x14ac:dyDescent="0.25">
      <c r="A54" s="25"/>
      <c r="B54" s="12" t="str">
        <f>CONCATENATE("          ","6279"," - ","GENERAL EXPENSE")</f>
        <v xml:space="preserve">          6279 - GENERAL EXPENSE</v>
      </c>
      <c r="C54" s="12"/>
      <c r="D54" s="8"/>
      <c r="E54" s="3"/>
      <c r="F54" s="7">
        <f t="shared" ref="F54:F73" si="8">IF(D$12=0,0,D54/D$12)</f>
        <v>0</v>
      </c>
      <c r="G54" s="3"/>
      <c r="H54" s="8"/>
      <c r="I54" s="3"/>
      <c r="J54" s="7">
        <f t="shared" ref="J54:J73" si="9">IF(H$12=0,0,H54/H$12)</f>
        <v>0</v>
      </c>
      <c r="K54" s="3"/>
      <c r="L54" s="8">
        <f t="shared" ref="L54:L73" si="10">+D54-H54</f>
        <v>0</v>
      </c>
      <c r="M54" s="3"/>
      <c r="N54" s="7">
        <f t="shared" ref="N54:N73" si="11">IF(H54=0,0,L54/H54)</f>
        <v>0</v>
      </c>
      <c r="O54" s="12"/>
      <c r="P54" s="8">
        <v>1153.93</v>
      </c>
      <c r="Q54" s="3"/>
      <c r="R54" s="7">
        <f t="shared" ref="R54:R73" si="12">IF(P$12=0,0,P54/P$12)</f>
        <v>9.9470001337840629E-3</v>
      </c>
      <c r="S54" s="3"/>
      <c r="T54" s="8">
        <v>755</v>
      </c>
      <c r="U54" s="3"/>
      <c r="V54" s="7">
        <f t="shared" ref="V54:V73" si="13">IF(T$12=0,0,T54/T$12)</f>
        <v>4.9123263606493384E-3</v>
      </c>
      <c r="W54" s="3"/>
      <c r="X54" s="8">
        <f t="shared" ref="X54:X73" si="14">+P54-T54</f>
        <v>398.93000000000006</v>
      </c>
      <c r="Y54" s="3"/>
      <c r="Z54" s="7">
        <f t="shared" ref="Z54:Z73" si="15">IF(T54=0,0,X54/T54)</f>
        <v>0.52838410596026497</v>
      </c>
    </row>
    <row r="55" spans="1:26" s="69" customFormat="1" ht="15" customHeight="1" outlineLevel="1" collapsed="1" x14ac:dyDescent="0.25">
      <c r="A55" s="26"/>
      <c r="B55" s="14" t="str">
        <f>CONCATENATE("     ","Repair and Maintenance                            ")</f>
        <v xml:space="preserve">     Repair and Maintenance                            </v>
      </c>
      <c r="C55" s="14"/>
      <c r="D55" s="2">
        <f>SUM(OSRRefD22_7x_0)</f>
        <v>467.96</v>
      </c>
      <c r="E55" s="2"/>
      <c r="F55" s="6">
        <f t="shared" si="8"/>
        <v>2.9307764089909878E-2</v>
      </c>
      <c r="G55" s="2"/>
      <c r="H55" s="2">
        <f>SUM(OSRRefH22_7x_0)</f>
        <v>115</v>
      </c>
      <c r="I55" s="2"/>
      <c r="J55" s="6">
        <f t="shared" si="9"/>
        <v>8.3527019174898312E-3</v>
      </c>
      <c r="K55" s="2"/>
      <c r="L55" s="2">
        <f t="shared" si="10"/>
        <v>352.96</v>
      </c>
      <c r="M55" s="2"/>
      <c r="N55" s="6">
        <f t="shared" si="11"/>
        <v>3.0692173913043477</v>
      </c>
      <c r="O55" s="14"/>
      <c r="P55" s="2">
        <f>SUM(OSRRefP22_7x_0)</f>
        <v>2211.25</v>
      </c>
      <c r="Q55" s="2"/>
      <c r="R55" s="6">
        <f t="shared" si="12"/>
        <v>1.9061211725000655E-2</v>
      </c>
      <c r="S55" s="2"/>
      <c r="T55" s="2">
        <f>SUM(OSRRefT22_7x_0)</f>
        <v>2279</v>
      </c>
      <c r="U55" s="2"/>
      <c r="V55" s="6">
        <f t="shared" si="13"/>
        <v>1.4828068577377273E-2</v>
      </c>
      <c r="W55" s="2"/>
      <c r="X55" s="2">
        <f t="shared" si="14"/>
        <v>-67.75</v>
      </c>
      <c r="Y55" s="2"/>
      <c r="Z55" s="6">
        <f t="shared" si="15"/>
        <v>-2.9727950855638438E-2</v>
      </c>
    </row>
    <row r="56" spans="1:26" s="70" customFormat="1" ht="15" hidden="1" customHeight="1" outlineLevel="2" x14ac:dyDescent="0.25">
      <c r="A56" s="25"/>
      <c r="B56" s="12" t="str">
        <f>CONCATENATE("          ","6373"," - ","MAINTENANCE CONTRACTS")</f>
        <v xml:space="preserve">          6373 - MAINTENANCE CONTRACTS</v>
      </c>
      <c r="C56" s="12"/>
      <c r="D56" s="8">
        <v>384.19</v>
      </c>
      <c r="E56" s="3"/>
      <c r="F56" s="7">
        <f t="shared" si="8"/>
        <v>2.4061351153308992E-2</v>
      </c>
      <c r="G56" s="3"/>
      <c r="H56" s="8"/>
      <c r="I56" s="3"/>
      <c r="J56" s="7">
        <f t="shared" si="9"/>
        <v>0</v>
      </c>
      <c r="K56" s="3"/>
      <c r="L56" s="8">
        <f t="shared" si="10"/>
        <v>384.19</v>
      </c>
      <c r="M56" s="3"/>
      <c r="N56" s="7">
        <f t="shared" si="11"/>
        <v>0</v>
      </c>
      <c r="O56" s="12"/>
      <c r="P56" s="8">
        <v>531.95000000000005</v>
      </c>
      <c r="Q56" s="3"/>
      <c r="R56" s="7">
        <f t="shared" si="12"/>
        <v>4.5854659478186998E-3</v>
      </c>
      <c r="S56" s="3"/>
      <c r="T56" s="8">
        <v>1014</v>
      </c>
      <c r="U56" s="3"/>
      <c r="V56" s="7">
        <f t="shared" si="13"/>
        <v>6.597482026090634E-3</v>
      </c>
      <c r="W56" s="3"/>
      <c r="X56" s="8">
        <f t="shared" si="14"/>
        <v>-482.04999999999995</v>
      </c>
      <c r="Y56" s="3"/>
      <c r="Z56" s="7">
        <f t="shared" si="15"/>
        <v>-0.47539447731755419</v>
      </c>
    </row>
    <row r="57" spans="1:26" s="70" customFormat="1" ht="15" hidden="1" customHeight="1" outlineLevel="2" x14ac:dyDescent="0.25">
      <c r="A57" s="25"/>
      <c r="B57" s="12" t="str">
        <f>CONCATENATE("          ","6375"," - ","OUTSIDE REPAIRS &amp; MAINTENANCE")</f>
        <v xml:space="preserve">          6375 - OUTSIDE REPAIRS &amp; MAINTENANCE</v>
      </c>
      <c r="C57" s="12"/>
      <c r="D57" s="8">
        <v>83.77</v>
      </c>
      <c r="E57" s="3"/>
      <c r="F57" s="7">
        <f t="shared" si="8"/>
        <v>5.246412936600886E-3</v>
      </c>
      <c r="G57" s="3"/>
      <c r="H57" s="8">
        <v>115</v>
      </c>
      <c r="I57" s="3"/>
      <c r="J57" s="7">
        <f t="shared" si="9"/>
        <v>8.3527019174898312E-3</v>
      </c>
      <c r="K57" s="3"/>
      <c r="L57" s="8">
        <f t="shared" si="10"/>
        <v>-31.230000000000004</v>
      </c>
      <c r="M57" s="3"/>
      <c r="N57" s="7">
        <f t="shared" si="11"/>
        <v>-0.2715652173913044</v>
      </c>
      <c r="O57" s="12"/>
      <c r="P57" s="8">
        <v>1679.3</v>
      </c>
      <c r="Q57" s="3"/>
      <c r="R57" s="7">
        <f t="shared" si="12"/>
        <v>1.4475745777181956E-2</v>
      </c>
      <c r="S57" s="3"/>
      <c r="T57" s="8">
        <v>1265</v>
      </c>
      <c r="U57" s="3"/>
      <c r="V57" s="7">
        <f t="shared" si="13"/>
        <v>8.2305865512866394E-3</v>
      </c>
      <c r="W57" s="3"/>
      <c r="X57" s="8">
        <f t="shared" si="14"/>
        <v>414.29999999999995</v>
      </c>
      <c r="Y57" s="3"/>
      <c r="Z57" s="7">
        <f t="shared" si="15"/>
        <v>0.32750988142292486</v>
      </c>
    </row>
    <row r="58" spans="1:26" s="69" customFormat="1" ht="15" customHeight="1" outlineLevel="1" collapsed="1" x14ac:dyDescent="0.25">
      <c r="A58" s="26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1239</v>
      </c>
      <c r="I58" s="2"/>
      <c r="J58" s="6">
        <f t="shared" si="9"/>
        <v>8.9991284137129576E-2</v>
      </c>
      <c r="K58" s="2"/>
      <c r="L58" s="2">
        <f t="shared" si="10"/>
        <v>-1239</v>
      </c>
      <c r="M58" s="2"/>
      <c r="N58" s="6">
        <f t="shared" si="11"/>
        <v>-1</v>
      </c>
      <c r="O58" s="14"/>
      <c r="P58" s="2">
        <f>SUM(OSRRefP22_8x_0)</f>
        <v>4367.51</v>
      </c>
      <c r="Q58" s="2"/>
      <c r="R58" s="6">
        <f t="shared" si="12"/>
        <v>3.7648403763056018E-2</v>
      </c>
      <c r="S58" s="2"/>
      <c r="T58" s="2">
        <f>SUM(OSRRefT22_8x_0)</f>
        <v>13834</v>
      </c>
      <c r="U58" s="2"/>
      <c r="V58" s="6">
        <f t="shared" si="13"/>
        <v>9.0009434269169464E-2</v>
      </c>
      <c r="W58" s="2"/>
      <c r="X58" s="2">
        <f t="shared" si="14"/>
        <v>-9466.49</v>
      </c>
      <c r="Y58" s="2"/>
      <c r="Z58" s="6">
        <f t="shared" si="15"/>
        <v>-0.68429160040479975</v>
      </c>
    </row>
    <row r="59" spans="1:26" s="70" customFormat="1" ht="15" hidden="1" customHeight="1" outlineLevel="2" x14ac:dyDescent="0.25">
      <c r="A59" s="25"/>
      <c r="B59" s="12" t="str">
        <f>CONCATENATE("          ","6254"," - ","ROYALTY &amp; COMMISSIONS")</f>
        <v xml:space="preserve">          6254 - ROYALTY &amp; COMMISSIONS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4367.51</v>
      </c>
      <c r="Q59" s="3"/>
      <c r="R59" s="7">
        <f t="shared" si="12"/>
        <v>3.7648403763056018E-2</v>
      </c>
      <c r="S59" s="3"/>
      <c r="T59" s="8"/>
      <c r="U59" s="3"/>
      <c r="V59" s="7">
        <f t="shared" si="13"/>
        <v>0</v>
      </c>
      <c r="W59" s="3"/>
      <c r="X59" s="8">
        <f t="shared" si="14"/>
        <v>4367.51</v>
      </c>
      <c r="Y59" s="3"/>
      <c r="Z59" s="7">
        <f t="shared" si="15"/>
        <v>0</v>
      </c>
    </row>
    <row r="60" spans="1:26" s="70" customFormat="1" ht="15" hidden="1" customHeight="1" outlineLevel="2" x14ac:dyDescent="0.25">
      <c r="A60" s="25"/>
      <c r="B60" s="12" t="str">
        <f>CONCATENATE("          ","6259"," - ","ROYALTY &amp; COMMISSIONS")</f>
        <v xml:space="preserve">          6259 - ROYALTY &amp; COMMISSIONS</v>
      </c>
      <c r="C60" s="12"/>
      <c r="D60" s="8"/>
      <c r="E60" s="3"/>
      <c r="F60" s="7">
        <f t="shared" si="8"/>
        <v>0</v>
      </c>
      <c r="G60" s="3"/>
      <c r="H60" s="8">
        <v>1239</v>
      </c>
      <c r="I60" s="3"/>
      <c r="J60" s="7">
        <f t="shared" si="9"/>
        <v>8.9991284137129576E-2</v>
      </c>
      <c r="K60" s="3"/>
      <c r="L60" s="8">
        <f t="shared" si="10"/>
        <v>-1239</v>
      </c>
      <c r="M60" s="3"/>
      <c r="N60" s="7">
        <f t="shared" si="11"/>
        <v>-1</v>
      </c>
      <c r="O60" s="12"/>
      <c r="P60" s="8"/>
      <c r="Q60" s="3"/>
      <c r="R60" s="7">
        <f t="shared" si="12"/>
        <v>0</v>
      </c>
      <c r="S60" s="3"/>
      <c r="T60" s="8">
        <v>13834</v>
      </c>
      <c r="U60" s="3"/>
      <c r="V60" s="7">
        <f t="shared" si="13"/>
        <v>9.0009434269169464E-2</v>
      </c>
      <c r="W60" s="3"/>
      <c r="X60" s="8">
        <f t="shared" si="14"/>
        <v>-13834</v>
      </c>
      <c r="Y60" s="3"/>
      <c r="Z60" s="7">
        <f t="shared" si="15"/>
        <v>-1</v>
      </c>
    </row>
    <row r="61" spans="1:26" s="69" customFormat="1" ht="15" customHeight="1" outlineLevel="1" collapsed="1" x14ac:dyDescent="0.25">
      <c r="A61" s="26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SUM(OSRRefD22_9x_0)</f>
        <v>0</v>
      </c>
      <c r="E61" s="2"/>
      <c r="F61" s="6">
        <f t="shared" si="8"/>
        <v>0</v>
      </c>
      <c r="G61" s="2"/>
      <c r="H61" s="2">
        <f>SUM(OSRRefH22_9x_0)</f>
        <v>100</v>
      </c>
      <c r="I61" s="2"/>
      <c r="J61" s="6">
        <f t="shared" si="9"/>
        <v>7.2632190586868102E-3</v>
      </c>
      <c r="K61" s="2"/>
      <c r="L61" s="2">
        <f t="shared" si="10"/>
        <v>-100</v>
      </c>
      <c r="M61" s="2"/>
      <c r="N61" s="6">
        <f t="shared" si="11"/>
        <v>-1</v>
      </c>
      <c r="O61" s="14"/>
      <c r="P61" s="2">
        <f>SUM(OSRRefP22_9x_0)</f>
        <v>422.24</v>
      </c>
      <c r="Q61" s="2"/>
      <c r="R61" s="6">
        <f t="shared" si="12"/>
        <v>3.6397540028329121E-3</v>
      </c>
      <c r="S61" s="2"/>
      <c r="T61" s="2">
        <f>SUM(OSRRefT22_9x_0)</f>
        <v>1000</v>
      </c>
      <c r="U61" s="2"/>
      <c r="V61" s="6">
        <f t="shared" si="13"/>
        <v>6.5063925306613748E-3</v>
      </c>
      <c r="W61" s="2"/>
      <c r="X61" s="2">
        <f t="shared" si="14"/>
        <v>-577.76</v>
      </c>
      <c r="Y61" s="2"/>
      <c r="Z61" s="6">
        <f t="shared" si="15"/>
        <v>-0.57775999999999994</v>
      </c>
    </row>
    <row r="62" spans="1:26" s="70" customFormat="1" ht="15" hidden="1" customHeight="1" outlineLevel="2" x14ac:dyDescent="0.25">
      <c r="A62" s="25"/>
      <c r="B62" s="12" t="str">
        <f>CONCATENATE("          ","6282"," - ","JANITORIAL/EXTERMINATOR EXPENS")</f>
        <v xml:space="preserve">          6282 - JANITORIAL/EXTERMINATOR EXPENS</v>
      </c>
      <c r="C62" s="12"/>
      <c r="D62" s="8"/>
      <c r="E62" s="3"/>
      <c r="F62" s="7">
        <f t="shared" si="8"/>
        <v>0</v>
      </c>
      <c r="G62" s="3"/>
      <c r="H62" s="8">
        <v>100</v>
      </c>
      <c r="I62" s="3"/>
      <c r="J62" s="7">
        <f t="shared" si="9"/>
        <v>7.2632190586868102E-3</v>
      </c>
      <c r="K62" s="3"/>
      <c r="L62" s="8">
        <f t="shared" si="10"/>
        <v>-100</v>
      </c>
      <c r="M62" s="3"/>
      <c r="N62" s="7">
        <f t="shared" si="11"/>
        <v>-1</v>
      </c>
      <c r="O62" s="12"/>
      <c r="P62" s="8"/>
      <c r="Q62" s="3"/>
      <c r="R62" s="7">
        <f t="shared" si="12"/>
        <v>0</v>
      </c>
      <c r="S62" s="3"/>
      <c r="T62" s="8">
        <v>1000</v>
      </c>
      <c r="U62" s="3"/>
      <c r="V62" s="7">
        <f t="shared" si="13"/>
        <v>6.5063925306613748E-3</v>
      </c>
      <c r="W62" s="3"/>
      <c r="X62" s="8">
        <f t="shared" si="14"/>
        <v>-1000</v>
      </c>
      <c r="Y62" s="3"/>
      <c r="Z62" s="7">
        <f t="shared" si="15"/>
        <v>-1</v>
      </c>
    </row>
    <row r="63" spans="1:26" s="70" customFormat="1" ht="15" hidden="1" customHeight="1" outlineLevel="2" x14ac:dyDescent="0.25">
      <c r="A63" s="25"/>
      <c r="B63" s="12" t="str">
        <f>CONCATENATE("          ","6285"," - ","JANITORIAL SERVICES")</f>
        <v xml:space="preserve">          6285 - JANITORIAL SERVICES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206.4</v>
      </c>
      <c r="Q63" s="3"/>
      <c r="R63" s="7">
        <f t="shared" si="12"/>
        <v>1.7791900961176418E-3</v>
      </c>
      <c r="S63" s="3"/>
      <c r="T63" s="8"/>
      <c r="U63" s="3"/>
      <c r="V63" s="7">
        <f t="shared" si="13"/>
        <v>0</v>
      </c>
      <c r="W63" s="3"/>
      <c r="X63" s="8">
        <f t="shared" si="14"/>
        <v>206.4</v>
      </c>
      <c r="Y63" s="3"/>
      <c r="Z63" s="7">
        <f t="shared" si="15"/>
        <v>0</v>
      </c>
    </row>
    <row r="64" spans="1:26" s="70" customFormat="1" ht="15" hidden="1" customHeight="1" outlineLevel="2" x14ac:dyDescent="0.25">
      <c r="A64" s="25"/>
      <c r="B64" s="12" t="str">
        <f>CONCATENATE("          ","6286"," - ","LAUNDRY EXPENSE")</f>
        <v xml:space="preserve">          6286 - LAUNDRY EXPENSE</v>
      </c>
      <c r="C64" s="12"/>
      <c r="D64" s="8"/>
      <c r="E64" s="3"/>
      <c r="F64" s="7">
        <f t="shared" si="8"/>
        <v>0</v>
      </c>
      <c r="G64" s="3"/>
      <c r="H64" s="8"/>
      <c r="I64" s="3"/>
      <c r="J64" s="7">
        <f t="shared" si="9"/>
        <v>0</v>
      </c>
      <c r="K64" s="3"/>
      <c r="L64" s="8">
        <f t="shared" si="10"/>
        <v>0</v>
      </c>
      <c r="M64" s="3"/>
      <c r="N64" s="7">
        <f t="shared" si="11"/>
        <v>0</v>
      </c>
      <c r="O64" s="12"/>
      <c r="P64" s="8">
        <v>215.84</v>
      </c>
      <c r="Q64" s="3"/>
      <c r="R64" s="7">
        <f t="shared" si="12"/>
        <v>1.8605639067152703E-3</v>
      </c>
      <c r="S64" s="3"/>
      <c r="T64" s="8"/>
      <c r="U64" s="3"/>
      <c r="V64" s="7">
        <f t="shared" si="13"/>
        <v>0</v>
      </c>
      <c r="W64" s="3"/>
      <c r="X64" s="8">
        <f t="shared" si="14"/>
        <v>215.84</v>
      </c>
      <c r="Y64" s="3"/>
      <c r="Z64" s="7">
        <f t="shared" si="15"/>
        <v>0</v>
      </c>
    </row>
    <row r="65" spans="1:26" s="69" customFormat="1" ht="15" customHeight="1" outlineLevel="1" collapsed="1" x14ac:dyDescent="0.25">
      <c r="A65" s="26"/>
      <c r="B65" s="14" t="str">
        <f>CONCATENATE("     ","Supplies                                          ")</f>
        <v xml:space="preserve">     Supplies                                          </v>
      </c>
      <c r="C65" s="14"/>
      <c r="D65" s="2">
        <f>SUM(OSRRefD22_10x_0)</f>
        <v>-51.4</v>
      </c>
      <c r="E65" s="2"/>
      <c r="F65" s="6">
        <f t="shared" si="8"/>
        <v>-3.2191193140895971E-3</v>
      </c>
      <c r="G65" s="2"/>
      <c r="H65" s="2">
        <f>SUM(OSRRefH22_10x_0)</f>
        <v>1100</v>
      </c>
      <c r="I65" s="2"/>
      <c r="J65" s="6">
        <f t="shared" si="9"/>
        <v>7.9895409645554916E-2</v>
      </c>
      <c r="K65" s="2"/>
      <c r="L65" s="2">
        <f t="shared" si="10"/>
        <v>-1151.4000000000001</v>
      </c>
      <c r="M65" s="2"/>
      <c r="N65" s="6">
        <f t="shared" si="11"/>
        <v>-1.0467272727272727</v>
      </c>
      <c r="O65" s="14"/>
      <c r="P65" s="2">
        <f>SUM(OSRRefP22_10x_0)</f>
        <v>1478.1000000000001</v>
      </c>
      <c r="Q65" s="2"/>
      <c r="R65" s="6">
        <f t="shared" si="12"/>
        <v>1.274138023774945E-2</v>
      </c>
      <c r="S65" s="2"/>
      <c r="T65" s="2">
        <f>SUM(OSRRefT22_10x_0)</f>
        <v>9700</v>
      </c>
      <c r="U65" s="2"/>
      <c r="V65" s="6">
        <f t="shared" si="13"/>
        <v>6.3112007547415333E-2</v>
      </c>
      <c r="W65" s="2"/>
      <c r="X65" s="2">
        <f t="shared" si="14"/>
        <v>-8221.9</v>
      </c>
      <c r="Y65" s="2"/>
      <c r="Z65" s="6">
        <f t="shared" si="15"/>
        <v>-0.84761855670103092</v>
      </c>
    </row>
    <row r="66" spans="1:26" s="70" customFormat="1" ht="15" hidden="1" customHeight="1" outlineLevel="2" x14ac:dyDescent="0.25">
      <c r="A66" s="25"/>
      <c r="B66" s="12" t="str">
        <f>CONCATENATE("          ","6234"," - ","EXPENDABLE SUPPLIES &amp; EQUIPMEN")</f>
        <v xml:space="preserve">          6234 - EXPENDABLE SUPPLIES &amp; EQUIPMEN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1194.8900000000001</v>
      </c>
      <c r="Q66" s="3"/>
      <c r="R66" s="7">
        <f t="shared" si="12"/>
        <v>1.0300079718750044E-2</v>
      </c>
      <c r="S66" s="3"/>
      <c r="T66" s="8"/>
      <c r="U66" s="3"/>
      <c r="V66" s="7">
        <f t="shared" si="13"/>
        <v>0</v>
      </c>
      <c r="W66" s="3"/>
      <c r="X66" s="8">
        <f t="shared" si="14"/>
        <v>1194.8900000000001</v>
      </c>
      <c r="Y66" s="3"/>
      <c r="Z66" s="7">
        <f t="shared" si="15"/>
        <v>0</v>
      </c>
    </row>
    <row r="67" spans="1:26" s="70" customFormat="1" ht="15" hidden="1" customHeight="1" outlineLevel="2" x14ac:dyDescent="0.25">
      <c r="A67" s="25"/>
      <c r="B67" s="12" t="str">
        <f>CONCATENATE("          ","6237"," - ","JANITORIAL SUPPLIES")</f>
        <v xml:space="preserve">          6237 - JANITORIAL SUPPLIES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-51.66</v>
      </c>
      <c r="Q67" s="3"/>
      <c r="R67" s="7">
        <f t="shared" si="12"/>
        <v>-4.4531473045270043E-4</v>
      </c>
      <c r="S67" s="3"/>
      <c r="T67" s="8"/>
      <c r="U67" s="3"/>
      <c r="V67" s="7">
        <f t="shared" si="13"/>
        <v>0</v>
      </c>
      <c r="W67" s="3"/>
      <c r="X67" s="8">
        <f t="shared" si="14"/>
        <v>-51.66</v>
      </c>
      <c r="Y67" s="3"/>
      <c r="Z67" s="7">
        <f t="shared" si="15"/>
        <v>0</v>
      </c>
    </row>
    <row r="68" spans="1:26" s="70" customFormat="1" ht="15" hidden="1" customHeight="1" outlineLevel="2" x14ac:dyDescent="0.25">
      <c r="A68" s="25"/>
      <c r="B68" s="12" t="str">
        <f>CONCATENATE("          ","6241"," - ","OFFICE EXPENSE")</f>
        <v xml:space="preserve">          6241 - OFFICE EXPENSE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19.940000000000001</v>
      </c>
      <c r="Q68" s="3"/>
      <c r="R68" s="7">
        <f t="shared" si="12"/>
        <v>1.7188493467338071E-4</v>
      </c>
      <c r="S68" s="3"/>
      <c r="T68" s="8"/>
      <c r="U68" s="3"/>
      <c r="V68" s="7">
        <f t="shared" si="13"/>
        <v>0</v>
      </c>
      <c r="W68" s="3"/>
      <c r="X68" s="8">
        <f t="shared" si="14"/>
        <v>19.940000000000001</v>
      </c>
      <c r="Y68" s="3"/>
      <c r="Z68" s="7">
        <f t="shared" si="15"/>
        <v>0</v>
      </c>
    </row>
    <row r="69" spans="1:26" s="70" customFormat="1" ht="15" hidden="1" customHeight="1" outlineLevel="2" x14ac:dyDescent="0.25">
      <c r="A69" s="25"/>
      <c r="B69" s="12" t="str">
        <f>CONCATENATE("          ","6247"," - ","STORE SUPPLIES")</f>
        <v xml:space="preserve">          6247 - STORE SUPPLIES</v>
      </c>
      <c r="C69" s="12"/>
      <c r="D69" s="8">
        <v>-51.4</v>
      </c>
      <c r="E69" s="3"/>
      <c r="F69" s="7">
        <f t="shared" si="8"/>
        <v>-3.2191193140895971E-3</v>
      </c>
      <c r="G69" s="3"/>
      <c r="H69" s="8">
        <v>1100</v>
      </c>
      <c r="I69" s="3"/>
      <c r="J69" s="7">
        <f t="shared" si="9"/>
        <v>7.9895409645554916E-2</v>
      </c>
      <c r="K69" s="3"/>
      <c r="L69" s="8">
        <f t="shared" si="10"/>
        <v>-1151.4000000000001</v>
      </c>
      <c r="M69" s="3"/>
      <c r="N69" s="7">
        <f t="shared" si="11"/>
        <v>-1.0467272727272727</v>
      </c>
      <c r="O69" s="12"/>
      <c r="P69" s="8">
        <v>314.93</v>
      </c>
      <c r="Q69" s="3"/>
      <c r="R69" s="7">
        <f t="shared" si="12"/>
        <v>2.7147303147787255E-3</v>
      </c>
      <c r="S69" s="3"/>
      <c r="T69" s="8">
        <v>9700</v>
      </c>
      <c r="U69" s="3"/>
      <c r="V69" s="7">
        <f t="shared" si="13"/>
        <v>6.3112007547415333E-2</v>
      </c>
      <c r="W69" s="3"/>
      <c r="X69" s="8">
        <f t="shared" si="14"/>
        <v>-9385.07</v>
      </c>
      <c r="Y69" s="3"/>
      <c r="Z69" s="7">
        <f t="shared" si="15"/>
        <v>-0.96753298969072166</v>
      </c>
    </row>
    <row r="70" spans="1:26" s="69" customFormat="1" ht="15" customHeight="1" outlineLevel="1" collapsed="1" x14ac:dyDescent="0.25">
      <c r="A70" s="26"/>
      <c r="B70" s="14" t="str">
        <f>CONCATENATE("     ","Telephone/Data Lines                              ")</f>
        <v xml:space="preserve">     Telephone/Data Lines                              </v>
      </c>
      <c r="C70" s="14"/>
      <c r="D70" s="2">
        <f>SUM(OSRRefD22_11x_0)</f>
        <v>126.5</v>
      </c>
      <c r="E70" s="2"/>
      <c r="F70" s="6">
        <f t="shared" si="8"/>
        <v>7.9225407243644751E-3</v>
      </c>
      <c r="G70" s="2"/>
      <c r="H70" s="2">
        <f>SUM(OSRRefH22_11x_0)</f>
        <v>53</v>
      </c>
      <c r="I70" s="2"/>
      <c r="J70" s="6">
        <f t="shared" si="9"/>
        <v>3.8495061011040092E-3</v>
      </c>
      <c r="K70" s="2"/>
      <c r="L70" s="2">
        <f t="shared" si="10"/>
        <v>73.5</v>
      </c>
      <c r="M70" s="2"/>
      <c r="N70" s="6">
        <f t="shared" si="11"/>
        <v>1.3867924528301887</v>
      </c>
      <c r="O70" s="14"/>
      <c r="P70" s="2">
        <f>SUM(OSRRefP22_11x_0)</f>
        <v>793</v>
      </c>
      <c r="Q70" s="2"/>
      <c r="R70" s="6">
        <f t="shared" si="12"/>
        <v>6.8357448944829941E-3</v>
      </c>
      <c r="S70" s="2"/>
      <c r="T70" s="2">
        <f>SUM(OSRRefT22_11x_0)</f>
        <v>583</v>
      </c>
      <c r="U70" s="2"/>
      <c r="V70" s="6">
        <f t="shared" si="13"/>
        <v>3.7932268453755814E-3</v>
      </c>
      <c r="W70" s="2"/>
      <c r="X70" s="2">
        <f t="shared" si="14"/>
        <v>210</v>
      </c>
      <c r="Y70" s="2"/>
      <c r="Z70" s="6">
        <f t="shared" si="15"/>
        <v>0.36020583190394512</v>
      </c>
    </row>
    <row r="71" spans="1:26" s="70" customFormat="1" ht="15" hidden="1" customHeight="1" outlineLevel="2" x14ac:dyDescent="0.25">
      <c r="A71" s="25"/>
      <c r="B71" s="12" t="str">
        <f>CONCATENATE("          ","6309"," - ","TELEPHONE")</f>
        <v xml:space="preserve">          6309 - TELEPHONE</v>
      </c>
      <c r="C71" s="12"/>
      <c r="D71" s="8">
        <v>126.5</v>
      </c>
      <c r="E71" s="3"/>
      <c r="F71" s="7">
        <f t="shared" si="8"/>
        <v>7.9225407243644751E-3</v>
      </c>
      <c r="G71" s="3"/>
      <c r="H71" s="8">
        <v>53</v>
      </c>
      <c r="I71" s="3"/>
      <c r="J71" s="7">
        <f t="shared" si="9"/>
        <v>3.8495061011040092E-3</v>
      </c>
      <c r="K71" s="3"/>
      <c r="L71" s="8">
        <f t="shared" si="10"/>
        <v>73.5</v>
      </c>
      <c r="M71" s="3"/>
      <c r="N71" s="7">
        <f t="shared" si="11"/>
        <v>1.3867924528301887</v>
      </c>
      <c r="O71" s="12"/>
      <c r="P71" s="8">
        <v>793</v>
      </c>
      <c r="Q71" s="3"/>
      <c r="R71" s="7">
        <f t="shared" si="12"/>
        <v>6.8357448944829941E-3</v>
      </c>
      <c r="S71" s="3"/>
      <c r="T71" s="8">
        <v>583</v>
      </c>
      <c r="U71" s="3"/>
      <c r="V71" s="7">
        <f t="shared" si="13"/>
        <v>3.7932268453755814E-3</v>
      </c>
      <c r="W71" s="3"/>
      <c r="X71" s="8">
        <f t="shared" si="14"/>
        <v>210</v>
      </c>
      <c r="Y71" s="3"/>
      <c r="Z71" s="7">
        <f t="shared" si="15"/>
        <v>0.36020583190394512</v>
      </c>
    </row>
    <row r="72" spans="1:26" s="69" customFormat="1" ht="15" customHeight="1" outlineLevel="1" collapsed="1" x14ac:dyDescent="0.25">
      <c r="A72" s="26"/>
      <c r="B72" s="14" t="str">
        <f>CONCATENATE("     ","Training                                          ")</f>
        <v xml:space="preserve">     Training                                          </v>
      </c>
      <c r="C72" s="14"/>
      <c r="D72" s="2">
        <f>SUM(OSRRefD22_12x_0)</f>
        <v>0</v>
      </c>
      <c r="E72" s="2"/>
      <c r="F72" s="6">
        <f t="shared" si="8"/>
        <v>0</v>
      </c>
      <c r="G72" s="2"/>
      <c r="H72" s="2">
        <f>SUM(OSRRefH22_12x_0)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SUM(OSRRefP22_12x_0)</f>
        <v>80</v>
      </c>
      <c r="Q72" s="2"/>
      <c r="R72" s="6">
        <f t="shared" si="12"/>
        <v>6.8960856438668287E-4</v>
      </c>
      <c r="S72" s="2"/>
      <c r="T72" s="2">
        <f>SUM(OSRRefT22_12x_0)</f>
        <v>150</v>
      </c>
      <c r="U72" s="2"/>
      <c r="V72" s="6">
        <f t="shared" si="13"/>
        <v>9.7595887959920627E-4</v>
      </c>
      <c r="W72" s="2"/>
      <c r="X72" s="2">
        <f t="shared" si="14"/>
        <v>-70</v>
      </c>
      <c r="Y72" s="2"/>
      <c r="Z72" s="6">
        <f t="shared" si="15"/>
        <v>-0.46666666666666667</v>
      </c>
    </row>
    <row r="73" spans="1:26" s="70" customFormat="1" ht="15" hidden="1" customHeight="1" outlineLevel="2" x14ac:dyDescent="0.25">
      <c r="A73" s="25"/>
      <c r="B73" s="12" t="str">
        <f>CONCATENATE("          ","6376"," - ","TRAINING")</f>
        <v xml:space="preserve">          6376 - TRAINING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80</v>
      </c>
      <c r="Q73" s="3"/>
      <c r="R73" s="7">
        <f t="shared" si="12"/>
        <v>6.8960856438668287E-4</v>
      </c>
      <c r="S73" s="3"/>
      <c r="T73" s="8">
        <v>150</v>
      </c>
      <c r="U73" s="3"/>
      <c r="V73" s="7">
        <f t="shared" si="13"/>
        <v>9.7595887959920627E-4</v>
      </c>
      <c r="W73" s="3"/>
      <c r="X73" s="8">
        <f t="shared" si="14"/>
        <v>-70</v>
      </c>
      <c r="Y73" s="3"/>
      <c r="Z73" s="7">
        <f t="shared" si="15"/>
        <v>-0.46666666666666667</v>
      </c>
    </row>
    <row r="74" spans="1:26" s="65" customFormat="1" ht="15" customHeight="1" x14ac:dyDescent="0.25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x14ac:dyDescent="0.25">
      <c r="A75" s="11"/>
      <c r="B75" s="27" t="s">
        <v>291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25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25">
      <c r="A77" s="11"/>
      <c r="B77" s="28" t="s">
        <v>292</v>
      </c>
      <c r="C77" s="28"/>
      <c r="D77" s="22">
        <f>+D20-D22+D75</f>
        <v>949.04999999999927</v>
      </c>
      <c r="E77" s="15"/>
      <c r="F77" s="21">
        <f>IF(D$12=0,0,D77/D$12)</f>
        <v>5.9437844066862443E-2</v>
      </c>
      <c r="G77" s="15"/>
      <c r="H77" s="22">
        <f>+H20-H22+H75</f>
        <v>2212.9167452500005</v>
      </c>
      <c r="I77" s="15"/>
      <c r="J77" s="21">
        <f>IF(H$12=0,0,H77/H$12)</f>
        <v>0.16072899079386987</v>
      </c>
      <c r="K77" s="16"/>
      <c r="L77" s="22">
        <f>+D77-H77</f>
        <v>-1263.8667452500013</v>
      </c>
      <c r="M77" s="16"/>
      <c r="N77" s="21">
        <f>IF(H77=0,0,L77/H77)</f>
        <v>-0.57113162886171664</v>
      </c>
      <c r="O77" s="27"/>
      <c r="P77" s="22">
        <f>+P20-P22+P75</f>
        <v>-26623.429999999964</v>
      </c>
      <c r="Q77" s="15"/>
      <c r="R77" s="21">
        <f>IF(P$12=0,0,P77/P$12)</f>
        <v>-0.22949681676686648</v>
      </c>
      <c r="S77" s="15"/>
      <c r="T77" s="22">
        <f>+T20-T22+T75</f>
        <v>-6210.1582090000011</v>
      </c>
      <c r="U77" s="15"/>
      <c r="V77" s="21">
        <f>IF(T$12=0,0,T77/T$12)</f>
        <v>-4.0405726985263027E-2</v>
      </c>
      <c r="W77" s="16"/>
      <c r="X77" s="22">
        <f>+P77-T77</f>
        <v>-20413.271790999963</v>
      </c>
      <c r="Y77" s="16"/>
      <c r="Z77" s="21">
        <f>IF(T77=0,0,X77/T77)</f>
        <v>3.2870775758041497</v>
      </c>
    </row>
    <row r="78" spans="1:26" ht="15" customHeight="1" x14ac:dyDescent="0.25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25">
      <c r="A79" s="49"/>
      <c r="B79" s="11" t="s">
        <v>293</v>
      </c>
      <c r="C79" s="11"/>
      <c r="D79" s="5">
        <v>1709.22</v>
      </c>
      <c r="E79" s="5"/>
      <c r="F79" s="13">
        <f>IF(D$12=0,0,D79/D$12)</f>
        <v>0.10704636408615216</v>
      </c>
      <c r="G79" s="5"/>
      <c r="H79" s="5">
        <v>1839</v>
      </c>
      <c r="I79" s="5"/>
      <c r="J79" s="13">
        <f>IF(H$12=0,0,H79/H$12)</f>
        <v>0.13357059848925043</v>
      </c>
      <c r="K79" s="5"/>
      <c r="L79" s="5">
        <f>+D79-H79</f>
        <v>-129.77999999999997</v>
      </c>
      <c r="M79" s="5"/>
      <c r="N79" s="13">
        <f>IF(H79=0,0,L79/H79)</f>
        <v>-7.0570962479608465E-2</v>
      </c>
      <c r="O79" s="11"/>
      <c r="P79" s="5">
        <v>13042.22</v>
      </c>
      <c r="Q79" s="5"/>
      <c r="R79" s="13">
        <f>IF(P$12=0,0,P79/P$12)</f>
        <v>0.11242533263269103</v>
      </c>
      <c r="S79" s="5"/>
      <c r="T79" s="5">
        <v>19051</v>
      </c>
      <c r="U79" s="5"/>
      <c r="V79" s="13">
        <f>IF(T$12=0,0,T79/T$12)</f>
        <v>0.12395328410162985</v>
      </c>
      <c r="W79" s="5"/>
      <c r="X79" s="5">
        <f>+P79-T79</f>
        <v>-6008.7800000000007</v>
      </c>
      <c r="Y79" s="5"/>
      <c r="Z79" s="13">
        <f>IF(T79=0,0,X79/T79)</f>
        <v>-0.31540496561860271</v>
      </c>
    </row>
    <row r="80" spans="1:26" ht="15" customHeight="1" x14ac:dyDescent="0.25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25">
      <c r="A81" s="11"/>
      <c r="B81" s="28" t="s">
        <v>294</v>
      </c>
      <c r="C81" s="28"/>
      <c r="D81" s="34">
        <f>+D77-D79</f>
        <v>-760.17000000000075</v>
      </c>
      <c r="E81" s="15"/>
      <c r="F81" s="32">
        <f>IF(D$12=0,0,D81/D$12)</f>
        <v>-4.7608520019289717E-2</v>
      </c>
      <c r="G81" s="15"/>
      <c r="H81" s="34">
        <f>+H77-H79</f>
        <v>373.91674525000053</v>
      </c>
      <c r="I81" s="15"/>
      <c r="J81" s="32">
        <f>IF(H$12=0,0,H81/H$12)</f>
        <v>2.7158392304619444E-2</v>
      </c>
      <c r="K81" s="16"/>
      <c r="L81" s="34">
        <f>D81-H81</f>
        <v>-1134.0867452500013</v>
      </c>
      <c r="M81" s="16"/>
      <c r="N81" s="32">
        <f>IF(H81=0,0,L81/H81)</f>
        <v>-3.0329926638930051</v>
      </c>
      <c r="O81" s="27"/>
      <c r="P81" s="34">
        <f>+P77-P79</f>
        <v>-39665.649999999965</v>
      </c>
      <c r="Q81" s="15"/>
      <c r="R81" s="32">
        <f>IF(P$12=0,0,P81/P$12)</f>
        <v>-0.34192214939955751</v>
      </c>
      <c r="S81" s="15"/>
      <c r="T81" s="34">
        <f>+T77-T79</f>
        <v>-25261.158209000001</v>
      </c>
      <c r="U81" s="15"/>
      <c r="V81" s="32">
        <f>IF(T$12=0,0,T81/T$12)</f>
        <v>-0.16435901108689288</v>
      </c>
      <c r="W81" s="16"/>
      <c r="X81" s="34">
        <f>P81-T81</f>
        <v>-14404.491790999964</v>
      </c>
      <c r="Y81" s="16"/>
      <c r="Z81" s="32">
        <f>IF(T81=0,0,X81/T81)</f>
        <v>0.57022293561614912</v>
      </c>
    </row>
    <row r="82" spans="1:26" ht="15" customHeight="1" x14ac:dyDescent="0.25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25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25">
      <c r="A84" s="11"/>
      <c r="B84" s="28" t="s">
        <v>297</v>
      </c>
      <c r="C84" s="28"/>
      <c r="D84" s="30">
        <f>SUM(D81:D83)</f>
        <v>-760.17000000000075</v>
      </c>
      <c r="E84" s="15"/>
      <c r="F84" s="33">
        <f>IF(D$12=0,0,D84/D$12)</f>
        <v>-4.7608520019289717E-2</v>
      </c>
      <c r="G84" s="15"/>
      <c r="H84" s="30">
        <f>SUM(H81:H83)</f>
        <v>373.91674525000053</v>
      </c>
      <c r="I84" s="15"/>
      <c r="J84" s="33">
        <f>IF(H$12=0,0,H84/H$12)</f>
        <v>2.7158392304619444E-2</v>
      </c>
      <c r="K84" s="16"/>
      <c r="L84" s="30">
        <f>+D84-H84</f>
        <v>-1134.0867452500013</v>
      </c>
      <c r="M84" s="16"/>
      <c r="N84" s="33">
        <f>IF(H84=0,0,L84/H84)</f>
        <v>-3.0329926638930051</v>
      </c>
      <c r="O84" s="27"/>
      <c r="P84" s="30">
        <f>SUM(P81:P83)</f>
        <v>-39665.649999999965</v>
      </c>
      <c r="Q84" s="15"/>
      <c r="R84" s="33">
        <f>IF(P$12=0,0,P84/P$12)</f>
        <v>-0.34192214939955751</v>
      </c>
      <c r="S84" s="15"/>
      <c r="T84" s="30">
        <f>SUM(T81:T83)</f>
        <v>-25261.158209000001</v>
      </c>
      <c r="U84" s="15"/>
      <c r="V84" s="33">
        <f>IF(T$12=0,0,T84/T$12)</f>
        <v>-0.16435901108689288</v>
      </c>
      <c r="W84" s="16"/>
      <c r="X84" s="30">
        <f>+P84-T84</f>
        <v>-14404.491790999964</v>
      </c>
      <c r="Y84" s="16"/>
      <c r="Z84" s="33">
        <f>IF(T84=0,0,X84/T84)</f>
        <v>0.57022293561614912</v>
      </c>
    </row>
    <row r="85" spans="1:26" ht="15" customHeight="1" x14ac:dyDescent="0.25">
      <c r="A85" s="10"/>
      <c r="C85" s="10"/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25">
      <c r="A86" s="10"/>
      <c r="B86" s="54">
        <v>44727.874527581022</v>
      </c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A87" s="10"/>
      <c r="B87" s="50" t="s">
        <v>298</v>
      </c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  <row r="88" spans="1:26" ht="15" customHeight="1" x14ac:dyDescent="0.25">
      <c r="A88" s="10"/>
      <c r="B88" s="58"/>
      <c r="D88" s="18"/>
      <c r="E88" s="18"/>
      <c r="G88" s="18"/>
      <c r="H88" s="18"/>
      <c r="I88" s="18"/>
      <c r="J88" s="40"/>
      <c r="K88" s="18"/>
      <c r="L88" s="18"/>
      <c r="M88" s="18"/>
      <c r="P88" s="18"/>
      <c r="Q88" s="18"/>
      <c r="R88" s="40"/>
      <c r="S88" s="18"/>
      <c r="T88" s="18"/>
      <c r="U88" s="18"/>
      <c r="V88" s="40"/>
      <c r="W88" s="18"/>
      <c r="X88" s="18"/>
    </row>
    <row r="89" spans="1:26" ht="15" customHeight="1" x14ac:dyDescent="0.25">
      <c r="D89" s="18"/>
      <c r="E89" s="18"/>
      <c r="G89" s="18"/>
      <c r="H89" s="18"/>
      <c r="I89" s="18"/>
      <c r="J89" s="40"/>
      <c r="K89" s="18"/>
      <c r="L89" s="18"/>
      <c r="M89" s="18"/>
      <c r="P89" s="18"/>
      <c r="Q89" s="18"/>
      <c r="R89" s="40"/>
      <c r="S89" s="18"/>
      <c r="T89" s="18"/>
      <c r="U89" s="18"/>
      <c r="V89" s="40"/>
      <c r="W89" s="18"/>
      <c r="X8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5D168-15D3-7A92-E7EA-4FDF734E5A4F}">
  <sheetPr>
    <tabColor rgb="FF92D050"/>
    <outlinePr summaryBelow="0" summaryRight="0"/>
  </sheetPr>
  <dimension ref="A2:Z10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","325"," - ","Outpost C-Store")</f>
        <v>Department 325 - Outpost C-Store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60295.22</v>
      </c>
      <c r="E12" s="5"/>
      <c r="F12" s="13"/>
      <c r="G12" s="5"/>
      <c r="H12" s="5">
        <f>SUM(OSRRefH13x_0)</f>
        <v>28802</v>
      </c>
      <c r="I12" s="5"/>
      <c r="J12" s="13"/>
      <c r="K12" s="5"/>
      <c r="L12" s="5">
        <f>+D12-H12</f>
        <v>31493.22</v>
      </c>
      <c r="M12" s="5"/>
      <c r="N12" s="13">
        <f>IF(H12=0,0,L12/H12)</f>
        <v>1.0934386500937436</v>
      </c>
      <c r="O12" s="11"/>
      <c r="P12" s="5">
        <f>SUM(OSRRefP13x_0)</f>
        <v>287752.09999999998</v>
      </c>
      <c r="Q12" s="5"/>
      <c r="R12" s="13"/>
      <c r="S12" s="5"/>
      <c r="T12" s="5">
        <f>SUM(OSRRefT13x_0)</f>
        <v>350314</v>
      </c>
      <c r="U12" s="5"/>
      <c r="V12" s="13"/>
      <c r="W12" s="5"/>
      <c r="X12" s="5">
        <f>+P12-T12</f>
        <v>-62561.900000000023</v>
      </c>
      <c r="Y12" s="5"/>
      <c r="Z12" s="13">
        <f>IF(T12=0,0,X12/T12)</f>
        <v>-0.17858806670586966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--8494.93</f>
        <v>8494.93</v>
      </c>
      <c r="E13" s="3"/>
      <c r="F13" s="20"/>
      <c r="G13" s="3"/>
      <c r="H13" s="3">
        <v>5105</v>
      </c>
      <c r="I13" s="3"/>
      <c r="J13" s="20"/>
      <c r="K13" s="3"/>
      <c r="L13" s="3">
        <f>+D13-H13</f>
        <v>3389.9300000000003</v>
      </c>
      <c r="M13" s="3"/>
      <c r="N13" s="20">
        <f>IF(H13=0,0,L13/H13)</f>
        <v>0.66404113614103821</v>
      </c>
      <c r="O13" s="12"/>
      <c r="P13" s="3">
        <f>--42010.07</f>
        <v>42010.07</v>
      </c>
      <c r="Q13" s="3"/>
      <c r="R13" s="20"/>
      <c r="S13" s="3"/>
      <c r="T13" s="3">
        <v>62152</v>
      </c>
      <c r="U13" s="3"/>
      <c r="V13" s="20"/>
      <c r="W13" s="3"/>
      <c r="X13" s="3">
        <f>+P13-T13</f>
        <v>-20141.93</v>
      </c>
      <c r="Y13" s="3"/>
      <c r="Z13" s="20">
        <f>IF(T13=0,0,X13/T13)</f>
        <v>-0.3240753314454885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--51800.29</f>
        <v>51800.29</v>
      </c>
      <c r="E14" s="3"/>
      <c r="F14" s="20"/>
      <c r="G14" s="3"/>
      <c r="H14" s="3">
        <v>23697</v>
      </c>
      <c r="I14" s="3"/>
      <c r="J14" s="20"/>
      <c r="K14" s="3"/>
      <c r="L14" s="3">
        <f>+D14-H14</f>
        <v>28103.29</v>
      </c>
      <c r="M14" s="3"/>
      <c r="N14" s="20">
        <f>IF(H14=0,0,L14/H14)</f>
        <v>1.1859429463645188</v>
      </c>
      <c r="O14" s="12"/>
      <c r="P14" s="3">
        <f>--245742.03</f>
        <v>245742.03</v>
      </c>
      <c r="Q14" s="3"/>
      <c r="R14" s="20"/>
      <c r="S14" s="3"/>
      <c r="T14" s="3">
        <v>288162</v>
      </c>
      <c r="U14" s="3"/>
      <c r="V14" s="20"/>
      <c r="W14" s="3"/>
      <c r="X14" s="3">
        <f>+P14-T14</f>
        <v>-42419.97</v>
      </c>
      <c r="Y14" s="3"/>
      <c r="Z14" s="20">
        <f>IF(T14=0,0,X14/T14)</f>
        <v>-0.1472087575738647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25">
      <c r="A16" s="11"/>
      <c r="B16" s="27" t="s">
        <v>288</v>
      </c>
      <c r="C16" s="11"/>
      <c r="D16" s="5">
        <f>SUM(OSRRefD16x_0)</f>
        <v>29544.63</v>
      </c>
      <c r="E16" s="5"/>
      <c r="F16" s="13">
        <f>IF(D$12=0,0,D16/D$12)</f>
        <v>0.48999953893525888</v>
      </c>
      <c r="G16" s="5"/>
      <c r="H16" s="5">
        <f>SUM(OSRRefH16x_0)</f>
        <v>14113</v>
      </c>
      <c r="I16" s="5"/>
      <c r="J16" s="13">
        <f>IF(H$12=0,0,H16/H$12)</f>
        <v>0.49000069439622246</v>
      </c>
      <c r="K16" s="5"/>
      <c r="L16" s="5">
        <f>+D16-H16</f>
        <v>15431.630000000001</v>
      </c>
      <c r="M16" s="5"/>
      <c r="N16" s="13">
        <f>IF(H16=0,0,L16/H16)</f>
        <v>1.0934337135973926</v>
      </c>
      <c r="O16" s="11"/>
      <c r="P16" s="5">
        <f>SUM(OSRRefP16x_0)</f>
        <v>122929.48999999999</v>
      </c>
      <c r="Q16" s="5"/>
      <c r="R16" s="13">
        <f>IF(P$12=0,0,P16/P$12)</f>
        <v>0.42720623064088847</v>
      </c>
      <c r="S16" s="5"/>
      <c r="T16" s="5">
        <f>SUM(OSRRefT16x_0)</f>
        <v>171820</v>
      </c>
      <c r="U16" s="5"/>
      <c r="V16" s="13">
        <f>IF(T$12=0,0,T16/T$12)</f>
        <v>0.49047426023510338</v>
      </c>
      <c r="W16" s="5"/>
      <c r="X16" s="5">
        <f>+P16-T16</f>
        <v>-48890.510000000009</v>
      </c>
      <c r="Y16" s="5"/>
      <c r="Z16" s="13">
        <f>IF(T16=0,0,X16/T16)</f>
        <v>-0.28454493074147369</v>
      </c>
    </row>
    <row r="17" spans="1:26" s="70" customFormat="1" ht="15" hidden="1" customHeight="1" outlineLevel="1" x14ac:dyDescent="0.25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14113</v>
      </c>
      <c r="I17" s="3"/>
      <c r="J17" s="20">
        <f>IF(H$12=0,0,H17/H$12)</f>
        <v>0.49000069439622246</v>
      </c>
      <c r="K17" s="3"/>
      <c r="L17" s="3">
        <f>+D17-H17</f>
        <v>-14113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171820</v>
      </c>
      <c r="U17" s="3"/>
      <c r="V17" s="20">
        <f>IF(T$12=0,0,T17/T$12)</f>
        <v>0.49047426023510338</v>
      </c>
      <c r="W17" s="3"/>
      <c r="X17" s="3">
        <f>+P17-T17</f>
        <v>-171820</v>
      </c>
      <c r="Y17" s="3"/>
      <c r="Z17" s="20">
        <f>IF(T17=0,0,X17/T17)</f>
        <v>-1</v>
      </c>
    </row>
    <row r="18" spans="1:26" s="70" customFormat="1" ht="15" hidden="1" customHeight="1" outlineLevel="1" x14ac:dyDescent="0.25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18738.490000000002</v>
      </c>
      <c r="E18" s="3"/>
      <c r="F18" s="20">
        <f>IF(D$12=0,0,D18/D$12)</f>
        <v>0.31077903024485193</v>
      </c>
      <c r="G18" s="3"/>
      <c r="H18" s="3"/>
      <c r="I18" s="3"/>
      <c r="J18" s="20">
        <f>IF(H$12=0,0,H18/H$12)</f>
        <v>0</v>
      </c>
      <c r="K18" s="3"/>
      <c r="L18" s="3">
        <f>+D18-H18</f>
        <v>18738.490000000002</v>
      </c>
      <c r="M18" s="3"/>
      <c r="N18" s="20">
        <f>IF(H18=0,0,L18/H18)</f>
        <v>0</v>
      </c>
      <c r="O18" s="12"/>
      <c r="P18" s="3">
        <v>47097.63</v>
      </c>
      <c r="Q18" s="3"/>
      <c r="R18" s="20">
        <f>IF(P$12=0,0,P18/P$12)</f>
        <v>0.16367432244630015</v>
      </c>
      <c r="S18" s="3"/>
      <c r="T18" s="3"/>
      <c r="U18" s="3"/>
      <c r="V18" s="20">
        <f>IF(T$12=0,0,T18/T$12)</f>
        <v>0</v>
      </c>
      <c r="W18" s="3"/>
      <c r="X18" s="3">
        <f>+P18-T18</f>
        <v>47097.63</v>
      </c>
      <c r="Y18" s="3"/>
      <c r="Z18" s="20">
        <f>IF(T18=0,0,X18/T18)</f>
        <v>0</v>
      </c>
    </row>
    <row r="19" spans="1:26" s="70" customFormat="1" ht="15" hidden="1" customHeight="1" outlineLevel="1" x14ac:dyDescent="0.25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10806.14</v>
      </c>
      <c r="E19" s="3"/>
      <c r="F19" s="20">
        <f>IF(D$12=0,0,D19/D$12)</f>
        <v>0.17922050869040695</v>
      </c>
      <c r="G19" s="3"/>
      <c r="H19" s="3"/>
      <c r="I19" s="3"/>
      <c r="J19" s="20">
        <f>IF(H$12=0,0,H19/H$12)</f>
        <v>0</v>
      </c>
      <c r="K19" s="3"/>
      <c r="L19" s="3">
        <f>+D19-H19</f>
        <v>10806.14</v>
      </c>
      <c r="M19" s="3"/>
      <c r="N19" s="20">
        <f>IF(H19=0,0,L19/H19)</f>
        <v>0</v>
      </c>
      <c r="O19" s="12"/>
      <c r="P19" s="3">
        <v>75831.86</v>
      </c>
      <c r="Q19" s="3"/>
      <c r="R19" s="20">
        <f>IF(P$12=0,0,P19/P$12)</f>
        <v>0.26353190819458833</v>
      </c>
      <c r="S19" s="3"/>
      <c r="T19" s="3"/>
      <c r="U19" s="3"/>
      <c r="V19" s="20">
        <f>IF(T$12=0,0,T19/T$12)</f>
        <v>0</v>
      </c>
      <c r="W19" s="3"/>
      <c r="X19" s="3">
        <f>+P19-T19</f>
        <v>75831.86</v>
      </c>
      <c r="Y19" s="3"/>
      <c r="Z19" s="20">
        <f>IF(T19=0,0,X19/T19)</f>
        <v>0</v>
      </c>
    </row>
    <row r="20" spans="1:26" ht="15" customHeight="1" x14ac:dyDescent="0.25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x14ac:dyDescent="0.25">
      <c r="A21" s="11"/>
      <c r="B21" s="28" t="s">
        <v>289</v>
      </c>
      <c r="C21" s="28"/>
      <c r="D21" s="22">
        <f>D12-D16</f>
        <v>30750.59</v>
      </c>
      <c r="E21" s="15"/>
      <c r="F21" s="21">
        <f>IF(D$12=0,0,D21/D$12)</f>
        <v>0.51000046106474106</v>
      </c>
      <c r="G21" s="15"/>
      <c r="H21" s="22">
        <f>H12-H16</f>
        <v>14689</v>
      </c>
      <c r="I21" s="15"/>
      <c r="J21" s="21">
        <f>IF(H$12=0,0,H21/H$12)</f>
        <v>0.50999930560377749</v>
      </c>
      <c r="K21" s="16"/>
      <c r="L21" s="22">
        <f>+D21-H21</f>
        <v>16061.59</v>
      </c>
      <c r="M21" s="16"/>
      <c r="N21" s="21">
        <f>IF(H21=0,0,L21/H21)</f>
        <v>1.0934433930151815</v>
      </c>
      <c r="O21" s="27"/>
      <c r="P21" s="22">
        <f>P12-P16</f>
        <v>164822.60999999999</v>
      </c>
      <c r="Q21" s="15"/>
      <c r="R21" s="21">
        <f>IF(P$12=0,0,P21/P$12)</f>
        <v>0.57279376935911153</v>
      </c>
      <c r="S21" s="15"/>
      <c r="T21" s="22">
        <f>T12-T16</f>
        <v>178494</v>
      </c>
      <c r="U21" s="15"/>
      <c r="V21" s="21">
        <f>IF(T$12=0,0,T21/T$12)</f>
        <v>0.50952573976489668</v>
      </c>
      <c r="W21" s="16"/>
      <c r="X21" s="22">
        <f>+P21-T21</f>
        <v>-13671.390000000014</v>
      </c>
      <c r="Y21" s="16"/>
      <c r="Z21" s="21">
        <f>IF(T21=0,0,X21/T21)</f>
        <v>-7.6592994722511756E-2</v>
      </c>
    </row>
    <row r="22" spans="1:26" ht="15" customHeight="1" x14ac:dyDescent="0.25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25">
      <c r="A23" s="11"/>
      <c r="B23" s="27" t="s">
        <v>290</v>
      </c>
      <c r="C23" s="11"/>
      <c r="D23" s="23" cm="1">
        <f t="array" ref="D23">SUM(OSRRefD22x_0)</f>
        <v>27551.309999999998</v>
      </c>
      <c r="E23" s="23"/>
      <c r="F23" s="31">
        <f t="shared" ref="F23:F54" si="0">IF(D$12=0,0,D23/D$12)</f>
        <v>0.45694020189328438</v>
      </c>
      <c r="G23" s="23"/>
      <c r="H23" s="23" cm="1">
        <f t="array" ref="H23">SUM(OSRRefH22x_0)</f>
        <v>27538.611335057692</v>
      </c>
      <c r="I23" s="23"/>
      <c r="J23" s="31">
        <f t="shared" ref="J23:J54" si="1">IF(H$12=0,0,H23/H$12)</f>
        <v>0.95613538417671318</v>
      </c>
      <c r="K23" s="5"/>
      <c r="L23" s="23">
        <f t="shared" ref="L23:L54" si="2">+D23-H23</f>
        <v>12.698664942305186</v>
      </c>
      <c r="M23" s="5"/>
      <c r="N23" s="31">
        <f t="shared" ref="N23:N54" si="3">IF(H23=0,0,L23/H23)</f>
        <v>4.6112219631566192E-4</v>
      </c>
      <c r="O23" s="11"/>
      <c r="P23" s="23" cm="1">
        <f t="array" ref="P23">SUM(OSRRefP22x_0)</f>
        <v>252124.77000000011</v>
      </c>
      <c r="Q23" s="23"/>
      <c r="R23" s="31">
        <f t="shared" ref="R23:R54" si="4">IF(P$12=0,0,P23/P$12)</f>
        <v>0.87618741965740699</v>
      </c>
      <c r="S23" s="23"/>
      <c r="T23" s="23" cm="1">
        <f t="array" ref="T23">SUM(OSRRefT22x_0)</f>
        <v>316977.75373994233</v>
      </c>
      <c r="U23" s="23"/>
      <c r="V23" s="31">
        <f t="shared" ref="V23:V54" si="5">IF(T$12=0,0,T23/T$12)</f>
        <v>0.90483895516577217</v>
      </c>
      <c r="W23" s="5"/>
      <c r="X23" s="23">
        <f t="shared" ref="X23:X54" si="6">+P23-T23</f>
        <v>-64852.983739942225</v>
      </c>
      <c r="Y23" s="5"/>
      <c r="Z23" s="31">
        <f t="shared" ref="Z23:Z54" si="7">IF(T23=0,0,X23/T23)</f>
        <v>-0.20459790308549375</v>
      </c>
    </row>
    <row r="24" spans="1:26" s="69" customFormat="1" ht="15" customHeight="1" outlineLevel="1" collapsed="1" x14ac:dyDescent="0.25">
      <c r="A24" s="26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4145.17</v>
      </c>
      <c r="E24" s="2"/>
      <c r="F24" s="6">
        <f t="shared" si="0"/>
        <v>6.8747904062710113E-2</v>
      </c>
      <c r="G24" s="2"/>
      <c r="H24" s="2">
        <f>SUM(OSRRefH22_0x_0)</f>
        <v>3959.9879542884605</v>
      </c>
      <c r="I24" s="2"/>
      <c r="J24" s="6">
        <f t="shared" si="1"/>
        <v>0.13749003382711134</v>
      </c>
      <c r="K24" s="2"/>
      <c r="L24" s="2">
        <f t="shared" si="2"/>
        <v>185.18204571153956</v>
      </c>
      <c r="M24" s="2"/>
      <c r="N24" s="6">
        <f t="shared" si="3"/>
        <v>4.6763285103177413E-2</v>
      </c>
      <c r="O24" s="14"/>
      <c r="P24" s="2">
        <f>SUM(OSRRefP22_0x_0)</f>
        <v>22532.390000000003</v>
      </c>
      <c r="Q24" s="2"/>
      <c r="R24" s="6">
        <f t="shared" si="4"/>
        <v>7.8304867279856527E-2</v>
      </c>
      <c r="S24" s="2"/>
      <c r="T24" s="2">
        <f>SUM(OSRRefT22_0x_0)</f>
        <v>45233.821520711521</v>
      </c>
      <c r="U24" s="2"/>
      <c r="V24" s="6">
        <f t="shared" si="5"/>
        <v>0.12912364770095264</v>
      </c>
      <c r="W24" s="2"/>
      <c r="X24" s="2">
        <f t="shared" si="6"/>
        <v>-22701.431520711518</v>
      </c>
      <c r="Y24" s="2"/>
      <c r="Z24" s="6">
        <f t="shared" si="7"/>
        <v>-0.50186853017309307</v>
      </c>
    </row>
    <row r="25" spans="1:26" s="70" customFormat="1" ht="15" hidden="1" customHeight="1" outlineLevel="2" x14ac:dyDescent="0.25">
      <c r="A25" s="25"/>
      <c r="B25" s="12" t="str">
        <f>CONCATENATE("          ","6111"," - ","F.I.C.A.")</f>
        <v xml:space="preserve">          6111 - F.I.C.A.</v>
      </c>
      <c r="C25" s="12"/>
      <c r="D25" s="8">
        <v>612.24</v>
      </c>
      <c r="E25" s="3"/>
      <c r="F25" s="7">
        <f t="shared" si="0"/>
        <v>1.0154038744696512E-2</v>
      </c>
      <c r="G25" s="3"/>
      <c r="H25" s="8">
        <v>481.239919673077</v>
      </c>
      <c r="I25" s="3"/>
      <c r="J25" s="7">
        <f t="shared" si="1"/>
        <v>1.670855911648764E-2</v>
      </c>
      <c r="K25" s="3"/>
      <c r="L25" s="8">
        <f t="shared" si="2"/>
        <v>131.00008032692301</v>
      </c>
      <c r="M25" s="3"/>
      <c r="N25" s="7">
        <f t="shared" si="3"/>
        <v>0.27221366094466126</v>
      </c>
      <c r="O25" s="12"/>
      <c r="P25" s="8">
        <v>4397.32</v>
      </c>
      <c r="Q25" s="3"/>
      <c r="R25" s="7">
        <f t="shared" si="4"/>
        <v>1.5281626094127549E-2</v>
      </c>
      <c r="S25" s="3"/>
      <c r="T25" s="8">
        <v>5552.1939553269203</v>
      </c>
      <c r="U25" s="3"/>
      <c r="V25" s="7">
        <f t="shared" si="5"/>
        <v>1.5849192311260526E-2</v>
      </c>
      <c r="W25" s="3"/>
      <c r="X25" s="8">
        <f t="shared" si="6"/>
        <v>-1154.8739553269206</v>
      </c>
      <c r="Y25" s="3"/>
      <c r="Z25" s="7">
        <f t="shared" si="7"/>
        <v>-0.20800317219086056</v>
      </c>
    </row>
    <row r="26" spans="1:26" s="70" customFormat="1" ht="15" hidden="1" customHeight="1" outlineLevel="2" x14ac:dyDescent="0.25">
      <c r="A26" s="25"/>
      <c r="B26" s="12" t="str">
        <f>CONCATENATE("          ","6112"," - ","COMPENSATION INSURANCE")</f>
        <v xml:space="preserve">          6112 - COMPENSATION INSURANCE</v>
      </c>
      <c r="C26" s="12"/>
      <c r="D26" s="8">
        <v>298.70999999999998</v>
      </c>
      <c r="E26" s="3"/>
      <c r="F26" s="7">
        <f t="shared" si="0"/>
        <v>4.9541240582586807E-3</v>
      </c>
      <c r="G26" s="3"/>
      <c r="H26" s="8">
        <v>422.27315588461499</v>
      </c>
      <c r="I26" s="3"/>
      <c r="J26" s="7">
        <f t="shared" si="1"/>
        <v>1.4661244215145303E-2</v>
      </c>
      <c r="K26" s="3"/>
      <c r="L26" s="8">
        <f t="shared" si="2"/>
        <v>-123.56315588461501</v>
      </c>
      <c r="M26" s="3"/>
      <c r="N26" s="7">
        <f t="shared" si="3"/>
        <v>-0.29261428097593378</v>
      </c>
      <c r="O26" s="12"/>
      <c r="P26" s="8">
        <v>1522.75</v>
      </c>
      <c r="Q26" s="3"/>
      <c r="R26" s="7">
        <f t="shared" si="4"/>
        <v>5.2918814493447663E-3</v>
      </c>
      <c r="S26" s="3"/>
      <c r="T26" s="8">
        <v>5020.5261361153798</v>
      </c>
      <c r="U26" s="3"/>
      <c r="V26" s="7">
        <f t="shared" si="5"/>
        <v>1.4331502983367436E-2</v>
      </c>
      <c r="W26" s="3"/>
      <c r="X26" s="8">
        <f t="shared" si="6"/>
        <v>-3497.7761361153798</v>
      </c>
      <c r="Y26" s="3"/>
      <c r="Z26" s="7">
        <f t="shared" si="7"/>
        <v>-0.69669513538710026</v>
      </c>
    </row>
    <row r="27" spans="1:26" s="70" customFormat="1" ht="15" hidden="1" customHeight="1" outlineLevel="2" x14ac:dyDescent="0.25">
      <c r="A27" s="25"/>
      <c r="B27" s="12" t="str">
        <f>CONCATENATE("          ","6113"," - ","GROUP INSURANCE")</f>
        <v xml:space="preserve">          6113 - GROUP INSURANCE</v>
      </c>
      <c r="C27" s="12"/>
      <c r="D27" s="8">
        <v>1752.24</v>
      </c>
      <c r="E27" s="3"/>
      <c r="F27" s="7">
        <f t="shared" si="0"/>
        <v>2.9061010143092602E-2</v>
      </c>
      <c r="G27" s="3"/>
      <c r="H27" s="8">
        <v>1977</v>
      </c>
      <c r="I27" s="3"/>
      <c r="J27" s="7">
        <f t="shared" si="1"/>
        <v>6.8641066592597735E-2</v>
      </c>
      <c r="K27" s="3"/>
      <c r="L27" s="8">
        <f t="shared" si="2"/>
        <v>-224.76</v>
      </c>
      <c r="M27" s="3"/>
      <c r="N27" s="7">
        <f t="shared" si="3"/>
        <v>-0.11368740515933232</v>
      </c>
      <c r="O27" s="12"/>
      <c r="P27" s="8">
        <v>8761.2000000000007</v>
      </c>
      <c r="Q27" s="3"/>
      <c r="R27" s="7">
        <f t="shared" si="4"/>
        <v>3.0447041046789934E-2</v>
      </c>
      <c r="S27" s="3"/>
      <c r="T27" s="8">
        <v>21747</v>
      </c>
      <c r="U27" s="3"/>
      <c r="V27" s="7">
        <f t="shared" si="5"/>
        <v>6.2078592348578703E-2</v>
      </c>
      <c r="W27" s="3"/>
      <c r="X27" s="8">
        <f t="shared" si="6"/>
        <v>-12985.8</v>
      </c>
      <c r="Y27" s="3"/>
      <c r="Z27" s="7">
        <f t="shared" si="7"/>
        <v>-0.59713063870878735</v>
      </c>
    </row>
    <row r="28" spans="1:26" s="70" customFormat="1" ht="15" hidden="1" customHeight="1" outlineLevel="2" x14ac:dyDescent="0.25">
      <c r="A28" s="25"/>
      <c r="B28" s="12" t="str">
        <f>CONCATENATE("          ","6114"," - ","STATE UNEMPLOYMENT INSURANCE")</f>
        <v xml:space="preserve">          6114 - STATE UNEMPLOYMENT INSURANCE</v>
      </c>
      <c r="C28" s="12"/>
      <c r="D28" s="8">
        <v>52.48</v>
      </c>
      <c r="E28" s="3"/>
      <c r="F28" s="7">
        <f t="shared" si="0"/>
        <v>8.7038408683142701E-4</v>
      </c>
      <c r="G28" s="3"/>
      <c r="H28" s="8">
        <v>23.397721038461501</v>
      </c>
      <c r="I28" s="3"/>
      <c r="J28" s="7">
        <f t="shared" si="1"/>
        <v>8.1236445519274709E-4</v>
      </c>
      <c r="K28" s="3"/>
      <c r="L28" s="8">
        <f t="shared" si="2"/>
        <v>29.082278961538496</v>
      </c>
      <c r="M28" s="3"/>
      <c r="N28" s="7">
        <f t="shared" si="3"/>
        <v>1.2429534873816401</v>
      </c>
      <c r="O28" s="12"/>
      <c r="P28" s="8">
        <v>246.83</v>
      </c>
      <c r="Q28" s="3"/>
      <c r="R28" s="7">
        <f t="shared" si="4"/>
        <v>8.5778696315335333E-4</v>
      </c>
      <c r="S28" s="3"/>
      <c r="T28" s="8">
        <v>278.18218696153798</v>
      </c>
      <c r="U28" s="3"/>
      <c r="V28" s="7">
        <f t="shared" si="5"/>
        <v>7.9409383285149312E-4</v>
      </c>
      <c r="W28" s="3"/>
      <c r="X28" s="8">
        <f t="shared" si="6"/>
        <v>-31.352186961537967</v>
      </c>
      <c r="Y28" s="3"/>
      <c r="Z28" s="7">
        <f t="shared" si="7"/>
        <v>-0.11270379064879803</v>
      </c>
    </row>
    <row r="29" spans="1:26" s="70" customFormat="1" ht="15" hidden="1" customHeight="1" outlineLevel="2" x14ac:dyDescent="0.25">
      <c r="A29" s="25"/>
      <c r="B29" s="12" t="str">
        <f>CONCATENATE("          ","6115"," - ","P.E.R.S.")</f>
        <v xml:space="preserve">          6115 - P.E.R.S.</v>
      </c>
      <c r="C29" s="12"/>
      <c r="D29" s="8">
        <v>548.17999999999995</v>
      </c>
      <c r="E29" s="3"/>
      <c r="F29" s="7">
        <f t="shared" si="0"/>
        <v>9.0915996326076907E-3</v>
      </c>
      <c r="G29" s="3"/>
      <c r="H29" s="8">
        <v>397.928615384615</v>
      </c>
      <c r="I29" s="3"/>
      <c r="J29" s="7">
        <f t="shared" si="1"/>
        <v>1.3816006367079196E-2</v>
      </c>
      <c r="K29" s="3"/>
      <c r="L29" s="8">
        <f t="shared" si="2"/>
        <v>150.25138461538495</v>
      </c>
      <c r="M29" s="3"/>
      <c r="N29" s="7">
        <f t="shared" si="3"/>
        <v>0.37758376454068421</v>
      </c>
      <c r="O29" s="12"/>
      <c r="P29" s="8">
        <v>2987.59</v>
      </c>
      <c r="Q29" s="3"/>
      <c r="R29" s="7">
        <f t="shared" si="4"/>
        <v>1.0382513281397426E-2</v>
      </c>
      <c r="S29" s="3"/>
      <c r="T29" s="8">
        <v>4775.1433846153795</v>
      </c>
      <c r="U29" s="3"/>
      <c r="V29" s="7">
        <f t="shared" si="5"/>
        <v>1.3631037824966686E-2</v>
      </c>
      <c r="W29" s="3"/>
      <c r="X29" s="8">
        <f t="shared" si="6"/>
        <v>-1787.5533846153794</v>
      </c>
      <c r="Y29" s="3"/>
      <c r="Z29" s="7">
        <f t="shared" si="7"/>
        <v>-0.37434548884428115</v>
      </c>
    </row>
    <row r="30" spans="1:26" s="70" customFormat="1" ht="15" hidden="1" customHeight="1" outlineLevel="2" x14ac:dyDescent="0.25">
      <c r="A30" s="25"/>
      <c r="B30" s="12" t="str">
        <f>CONCATENATE("          ","6116"," - ","EDUCATIONAL BENEFITS")</f>
        <v xml:space="preserve">          6116 - EDUCATIONAL BENEFITS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25">
      <c r="A31" s="25"/>
      <c r="B31" s="12" t="str">
        <f>CONCATENATE("          ","6118"," - ","VACATION")</f>
        <v xml:space="preserve">          6118 - VACATION</v>
      </c>
      <c r="C31" s="12"/>
      <c r="D31" s="8">
        <v>406.86</v>
      </c>
      <c r="E31" s="3"/>
      <c r="F31" s="7">
        <f t="shared" si="0"/>
        <v>6.7477985817117839E-3</v>
      </c>
      <c r="G31" s="3"/>
      <c r="H31" s="8">
        <v>231.35384615384601</v>
      </c>
      <c r="I31" s="3"/>
      <c r="J31" s="7">
        <f t="shared" si="1"/>
        <v>8.032561841325116E-3</v>
      </c>
      <c r="K31" s="3"/>
      <c r="L31" s="8">
        <f t="shared" si="2"/>
        <v>175.50615384615401</v>
      </c>
      <c r="M31" s="3"/>
      <c r="N31" s="7">
        <f t="shared" si="3"/>
        <v>0.75860486766857416</v>
      </c>
      <c r="O31" s="12"/>
      <c r="P31" s="8">
        <v>2064.84</v>
      </c>
      <c r="Q31" s="3"/>
      <c r="R31" s="7">
        <f t="shared" si="4"/>
        <v>7.1757599683894583E-3</v>
      </c>
      <c r="S31" s="3"/>
      <c r="T31" s="8">
        <v>2776.2461538461498</v>
      </c>
      <c r="U31" s="3"/>
      <c r="V31" s="7">
        <f t="shared" si="5"/>
        <v>7.9250219912596984E-3</v>
      </c>
      <c r="W31" s="3"/>
      <c r="X31" s="8">
        <f t="shared" si="6"/>
        <v>-711.40615384614966</v>
      </c>
      <c r="Y31" s="3"/>
      <c r="Z31" s="7">
        <f t="shared" si="7"/>
        <v>-0.25624750631732829</v>
      </c>
    </row>
    <row r="32" spans="1:26" s="70" customFormat="1" ht="15" hidden="1" customHeight="1" outlineLevel="2" x14ac:dyDescent="0.25">
      <c r="A32" s="25"/>
      <c r="B32" s="12" t="str">
        <f>CONCATENATE("          ","6119"," - ","SICK LEAVE")</f>
        <v xml:space="preserve">          6119 - SICK LEAVE</v>
      </c>
      <c r="C32" s="12"/>
      <c r="D32" s="8">
        <v>232.4</v>
      </c>
      <c r="E32" s="3"/>
      <c r="F32" s="7">
        <f t="shared" si="0"/>
        <v>3.8543685552519754E-3</v>
      </c>
      <c r="G32" s="3"/>
      <c r="H32" s="8">
        <v>426.79469615384602</v>
      </c>
      <c r="I32" s="3"/>
      <c r="J32" s="7">
        <f t="shared" si="1"/>
        <v>1.4818231239283592E-2</v>
      </c>
      <c r="K32" s="3"/>
      <c r="L32" s="8">
        <f t="shared" si="2"/>
        <v>-194.39469615384601</v>
      </c>
      <c r="M32" s="3"/>
      <c r="N32" s="7">
        <f t="shared" si="3"/>
        <v>-0.45547589486391571</v>
      </c>
      <c r="O32" s="12"/>
      <c r="P32" s="8">
        <v>1278.2</v>
      </c>
      <c r="Q32" s="3"/>
      <c r="R32" s="7">
        <f t="shared" si="4"/>
        <v>4.4420179731094927E-3</v>
      </c>
      <c r="S32" s="3"/>
      <c r="T32" s="8">
        <v>5084.5297038461504</v>
      </c>
      <c r="U32" s="3"/>
      <c r="V32" s="7">
        <f t="shared" si="5"/>
        <v>1.4514206408668082E-2</v>
      </c>
      <c r="W32" s="3"/>
      <c r="X32" s="8">
        <f t="shared" si="6"/>
        <v>-3806.3297038461506</v>
      </c>
      <c r="Y32" s="3"/>
      <c r="Z32" s="7">
        <f t="shared" si="7"/>
        <v>-0.74860998470849405</v>
      </c>
    </row>
    <row r="33" spans="1:26" s="70" customFormat="1" ht="15" hidden="1" customHeight="1" outlineLevel="2" x14ac:dyDescent="0.25">
      <c r="A33" s="25"/>
      <c r="B33" s="12" t="str">
        <f>CONCATENATE("          ","6156"," - ","EMPLOYEE MEALS")</f>
        <v xml:space="preserve">          6156 - EMPLOYEE MEALS</v>
      </c>
      <c r="C33" s="12"/>
      <c r="D33" s="8">
        <v>242.06</v>
      </c>
      <c r="E33" s="3"/>
      <c r="F33" s="7">
        <f t="shared" si="0"/>
        <v>4.0145802602594366E-3</v>
      </c>
      <c r="G33" s="3"/>
      <c r="H33" s="8"/>
      <c r="I33" s="3"/>
      <c r="J33" s="7">
        <f t="shared" si="1"/>
        <v>0</v>
      </c>
      <c r="K33" s="3"/>
      <c r="L33" s="8">
        <f t="shared" si="2"/>
        <v>242.06</v>
      </c>
      <c r="M33" s="3"/>
      <c r="N33" s="7">
        <f t="shared" si="3"/>
        <v>0</v>
      </c>
      <c r="O33" s="12"/>
      <c r="P33" s="8">
        <v>1273.6600000000001</v>
      </c>
      <c r="Q33" s="3"/>
      <c r="R33" s="7">
        <f t="shared" si="4"/>
        <v>4.4262405035445443E-3</v>
      </c>
      <c r="S33" s="3"/>
      <c r="T33" s="8"/>
      <c r="U33" s="3"/>
      <c r="V33" s="7">
        <f t="shared" si="5"/>
        <v>0</v>
      </c>
      <c r="W33" s="3"/>
      <c r="X33" s="8">
        <f t="shared" si="6"/>
        <v>1273.6600000000001</v>
      </c>
      <c r="Y33" s="3"/>
      <c r="Z33" s="7">
        <f t="shared" si="7"/>
        <v>0</v>
      </c>
    </row>
    <row r="34" spans="1:26" s="69" customFormat="1" ht="15" customHeight="1" outlineLevel="1" collapsed="1" x14ac:dyDescent="0.25">
      <c r="A34" s="26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11267.22</v>
      </c>
      <c r="E34" s="2"/>
      <c r="F34" s="6">
        <f t="shared" si="0"/>
        <v>0.18686754936792666</v>
      </c>
      <c r="G34" s="2"/>
      <c r="H34" s="2">
        <f>SUM(OSRRefH22_1x_0)</f>
        <v>10483.62338076923</v>
      </c>
      <c r="I34" s="2"/>
      <c r="J34" s="6">
        <f t="shared" si="1"/>
        <v>0.36398942367784287</v>
      </c>
      <c r="K34" s="2"/>
      <c r="L34" s="2">
        <f t="shared" si="2"/>
        <v>783.59661923076965</v>
      </c>
      <c r="M34" s="2"/>
      <c r="N34" s="6">
        <f t="shared" si="3"/>
        <v>7.4744827314969203E-2</v>
      </c>
      <c r="O34" s="14"/>
      <c r="P34" s="2">
        <f>SUM(OSRRefP22_1x_0)</f>
        <v>91455.52</v>
      </c>
      <c r="Q34" s="2"/>
      <c r="R34" s="6">
        <f t="shared" si="4"/>
        <v>0.31782746329218803</v>
      </c>
      <c r="S34" s="2"/>
      <c r="T34" s="2">
        <f>SUM(OSRRefT22_1x_0)</f>
        <v>124606.9322192308</v>
      </c>
      <c r="U34" s="2"/>
      <c r="V34" s="6">
        <f t="shared" si="5"/>
        <v>0.35570069200554588</v>
      </c>
      <c r="W34" s="2"/>
      <c r="X34" s="2">
        <f t="shared" si="6"/>
        <v>-33151.412219230799</v>
      </c>
      <c r="Y34" s="2"/>
      <c r="Z34" s="6">
        <f t="shared" si="7"/>
        <v>-0.26604789660421868</v>
      </c>
    </row>
    <row r="35" spans="1:26" s="70" customFormat="1" ht="15" hidden="1" customHeight="1" outlineLevel="2" x14ac:dyDescent="0.25">
      <c r="A35" s="25"/>
      <c r="B35" s="12" t="str">
        <f>CONCATENATE("          ","6001"," - ","ADMINISTRATIVE SALARIES")</f>
        <v xml:space="preserve">          6001 - ADMINISTRATIVE SALARIES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","6002"," - ","STAFF SALARIES")</f>
        <v xml:space="preserve">          6002 - STAFF SALARIES</v>
      </c>
      <c r="C36" s="12"/>
      <c r="D36" s="8">
        <v>4786.54</v>
      </c>
      <c r="E36" s="3"/>
      <c r="F36" s="7">
        <f t="shared" si="0"/>
        <v>7.9385065681823533E-2</v>
      </c>
      <c r="G36" s="3"/>
      <c r="H36" s="8">
        <v>4164.3692307692299</v>
      </c>
      <c r="I36" s="3"/>
      <c r="J36" s="7">
        <f t="shared" si="1"/>
        <v>0.14458611314385217</v>
      </c>
      <c r="K36" s="3"/>
      <c r="L36" s="8">
        <f t="shared" si="2"/>
        <v>622.17076923077002</v>
      </c>
      <c r="M36" s="3"/>
      <c r="N36" s="7">
        <f t="shared" si="3"/>
        <v>0.14940336333141249</v>
      </c>
      <c r="O36" s="12"/>
      <c r="P36" s="8">
        <v>25948.080000000002</v>
      </c>
      <c r="Q36" s="3"/>
      <c r="R36" s="7">
        <f t="shared" si="4"/>
        <v>9.0175119486530259E-2</v>
      </c>
      <c r="S36" s="3"/>
      <c r="T36" s="8">
        <v>49972.430769230799</v>
      </c>
      <c r="U36" s="3"/>
      <c r="V36" s="7">
        <f t="shared" si="5"/>
        <v>0.14265039584267486</v>
      </c>
      <c r="W36" s="3"/>
      <c r="X36" s="8">
        <f t="shared" si="6"/>
        <v>-24024.350769230798</v>
      </c>
      <c r="Y36" s="3"/>
      <c r="Z36" s="7">
        <f t="shared" si="7"/>
        <v>-0.48075209469344354</v>
      </c>
    </row>
    <row r="37" spans="1:26" s="70" customFormat="1" ht="15" hidden="1" customHeight="1" outlineLevel="2" x14ac:dyDescent="0.25">
      <c r="A37" s="25"/>
      <c r="B37" s="12" t="str">
        <f>CONCATENATE("          ","6003"," - ","STAFF HOURLY-9 MONTH")</f>
        <v xml:space="preserve">          6003 - STAFF HOURLY-9 MONTH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","6004"," - ","STAFF HOURLY")</f>
        <v xml:space="preserve">          6004 - STAFF HOURLY</v>
      </c>
      <c r="C38" s="12"/>
      <c r="D38" s="8"/>
      <c r="E38" s="3"/>
      <c r="F38" s="7">
        <f t="shared" si="0"/>
        <v>0</v>
      </c>
      <c r="G38" s="3"/>
      <c r="H38" s="8">
        <v>1611.3397500000001</v>
      </c>
      <c r="I38" s="3"/>
      <c r="J38" s="7">
        <f t="shared" si="1"/>
        <v>5.5945411776959934E-2</v>
      </c>
      <c r="K38" s="3"/>
      <c r="L38" s="8">
        <f t="shared" si="2"/>
        <v>-1611.3397500000001</v>
      </c>
      <c r="M38" s="3"/>
      <c r="N38" s="7">
        <f t="shared" si="3"/>
        <v>-1</v>
      </c>
      <c r="O38" s="12"/>
      <c r="P38" s="8"/>
      <c r="Q38" s="3"/>
      <c r="R38" s="7">
        <f t="shared" si="4"/>
        <v>0</v>
      </c>
      <c r="S38" s="3"/>
      <c r="T38" s="8">
        <v>16513.595249999998</v>
      </c>
      <c r="U38" s="3"/>
      <c r="V38" s="7">
        <f t="shared" si="5"/>
        <v>4.7139409929377638E-2</v>
      </c>
      <c r="W38" s="3"/>
      <c r="X38" s="8">
        <f t="shared" si="6"/>
        <v>-16513.595249999998</v>
      </c>
      <c r="Y38" s="3"/>
      <c r="Z38" s="7">
        <f t="shared" si="7"/>
        <v>-1</v>
      </c>
    </row>
    <row r="39" spans="1:26" s="70" customFormat="1" ht="15" hidden="1" customHeight="1" outlineLevel="2" x14ac:dyDescent="0.25">
      <c r="A39" s="25"/>
      <c r="B39" s="12" t="str">
        <f>CONCATENATE("          ","6005"," - ","TEMPORARY WAGES-HOURLY")</f>
        <v xml:space="preserve">          6005 - TEMPORARY WAGES-HOURLY</v>
      </c>
      <c r="C39" s="12"/>
      <c r="D39" s="8">
        <v>2889.68</v>
      </c>
      <c r="E39" s="3"/>
      <c r="F39" s="7">
        <f t="shared" si="0"/>
        <v>4.792552378115545E-2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2889.68</v>
      </c>
      <c r="M39" s="3"/>
      <c r="N39" s="7">
        <f t="shared" si="3"/>
        <v>0</v>
      </c>
      <c r="O39" s="12"/>
      <c r="P39" s="8">
        <v>28471.21</v>
      </c>
      <c r="Q39" s="3"/>
      <c r="R39" s="7">
        <f t="shared" si="4"/>
        <v>9.8943535077589365E-2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28471.21</v>
      </c>
      <c r="Y39" s="3"/>
      <c r="Z39" s="7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","6006"," - ","TEMPORARY PART TIME")</f>
        <v xml:space="preserve">          6006 - TEMPORARY PART TIME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","6007"," - ","STUDENT HOURLY")</f>
        <v xml:space="preserve">          6007 - STUDENT HOURLY</v>
      </c>
      <c r="C41" s="12"/>
      <c r="D41" s="8">
        <v>3591</v>
      </c>
      <c r="E41" s="3"/>
      <c r="F41" s="7">
        <f t="shared" si="0"/>
        <v>5.9556959904947686E-2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3591</v>
      </c>
      <c r="M41" s="3"/>
      <c r="N41" s="7">
        <f t="shared" si="3"/>
        <v>0</v>
      </c>
      <c r="O41" s="12"/>
      <c r="P41" s="8">
        <v>37036.230000000003</v>
      </c>
      <c r="Q41" s="3"/>
      <c r="R41" s="7">
        <f t="shared" si="4"/>
        <v>0.12870880872806839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37036.230000000003</v>
      </c>
      <c r="Y41" s="3"/>
      <c r="Z41" s="7">
        <f t="shared" si="7"/>
        <v>0</v>
      </c>
    </row>
    <row r="42" spans="1:26" s="70" customFormat="1" ht="15" hidden="1" customHeight="1" outlineLevel="2" x14ac:dyDescent="0.25">
      <c r="A42" s="25"/>
      <c r="B42" s="12" t="str">
        <f>CONCATENATE("          ","6008"," - ","STUDENT HOURLY-FICA EXEMPT")</f>
        <v xml:space="preserve">          6008 - STUDENT HOURLY-FICA EXEMPT</v>
      </c>
      <c r="C42" s="12"/>
      <c r="D42" s="8"/>
      <c r="E42" s="3"/>
      <c r="F42" s="7">
        <f t="shared" si="0"/>
        <v>0</v>
      </c>
      <c r="G42" s="3"/>
      <c r="H42" s="8">
        <v>4707.9143999999997</v>
      </c>
      <c r="I42" s="3"/>
      <c r="J42" s="7">
        <f t="shared" si="1"/>
        <v>0.16345789875703076</v>
      </c>
      <c r="K42" s="3"/>
      <c r="L42" s="8">
        <f t="shared" si="2"/>
        <v>-4707.9143999999997</v>
      </c>
      <c r="M42" s="3"/>
      <c r="N42" s="7">
        <f t="shared" si="3"/>
        <v>-1</v>
      </c>
      <c r="O42" s="12"/>
      <c r="P42" s="8"/>
      <c r="Q42" s="3"/>
      <c r="R42" s="7">
        <f t="shared" si="4"/>
        <v>0</v>
      </c>
      <c r="S42" s="3"/>
      <c r="T42" s="8">
        <v>58120.906199999998</v>
      </c>
      <c r="U42" s="3"/>
      <c r="V42" s="7">
        <f t="shared" si="5"/>
        <v>0.16591088623349337</v>
      </c>
      <c r="W42" s="3"/>
      <c r="X42" s="8">
        <f t="shared" si="6"/>
        <v>-58120.906199999998</v>
      </c>
      <c r="Y42" s="3"/>
      <c r="Z42" s="7">
        <f t="shared" si="7"/>
        <v>-1</v>
      </c>
    </row>
    <row r="43" spans="1:26" s="70" customFormat="1" ht="15" hidden="1" customHeight="1" outlineLevel="2" x14ac:dyDescent="0.25">
      <c r="A43" s="25"/>
      <c r="B43" s="12" t="str">
        <f>CONCATENATE("          ","6009"," - ","TEMPORARY-SEASONAL")</f>
        <v xml:space="preserve">          6009 - TEMPORARY-SEASONAL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","6010"," - ","GRATUITY")</f>
        <v xml:space="preserve">          6010 - GRATUITY</v>
      </c>
      <c r="C44" s="12"/>
      <c r="D44" s="8"/>
      <c r="E44" s="3"/>
      <c r="F44" s="7">
        <f t="shared" si="0"/>
        <v>0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/>
      <c r="Q44" s="3"/>
      <c r="R44" s="7">
        <f t="shared" si="4"/>
        <v>0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0</v>
      </c>
      <c r="Y44" s="3"/>
      <c r="Z44" s="7">
        <f t="shared" si="7"/>
        <v>0</v>
      </c>
    </row>
    <row r="45" spans="1:26" s="69" customFormat="1" ht="15" customHeight="1" outlineLevel="1" collapsed="1" x14ac:dyDescent="0.25">
      <c r="A45" s="26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0</v>
      </c>
      <c r="E45" s="2"/>
      <c r="F45" s="6">
        <f t="shared" si="0"/>
        <v>0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SUM(OSRRefP22_2x_0)</f>
        <v>91.22</v>
      </c>
      <c r="Q45" s="2"/>
      <c r="R45" s="6">
        <f t="shared" si="4"/>
        <v>3.170089809944046E-4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91.22</v>
      </c>
      <c r="Y45" s="2"/>
      <c r="Z45" s="6">
        <f t="shared" si="7"/>
        <v>0</v>
      </c>
    </row>
    <row r="46" spans="1:26" s="70" customFormat="1" ht="15" hidden="1" customHeight="1" outlineLevel="2" x14ac:dyDescent="0.25">
      <c r="A46" s="25"/>
      <c r="B46" s="12" t="str">
        <f>CONCATENATE("          ","6362"," - ","ADVERTISING EXPENSE")</f>
        <v xml:space="preserve">          6362 - ADVERTISING EXPENSE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91.22</v>
      </c>
      <c r="Q46" s="3"/>
      <c r="R46" s="7">
        <f t="shared" si="4"/>
        <v>3.170089809944046E-4</v>
      </c>
      <c r="S46" s="3"/>
      <c r="T46" s="8"/>
      <c r="U46" s="3"/>
      <c r="V46" s="7">
        <f t="shared" si="5"/>
        <v>0</v>
      </c>
      <c r="W46" s="3"/>
      <c r="X46" s="8">
        <f t="shared" si="6"/>
        <v>91.22</v>
      </c>
      <c r="Y46" s="3"/>
      <c r="Z46" s="7">
        <f t="shared" si="7"/>
        <v>0</v>
      </c>
    </row>
    <row r="47" spans="1:26" s="69" customFormat="1" ht="15" customHeight="1" outlineLevel="1" collapsed="1" x14ac:dyDescent="0.25">
      <c r="A47" s="26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-27.77</v>
      </c>
      <c r="E47" s="2"/>
      <c r="F47" s="6">
        <f t="shared" si="0"/>
        <v>-4.605671892398767E-4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-27.77</v>
      </c>
      <c r="M47" s="2"/>
      <c r="N47" s="6">
        <f t="shared" si="3"/>
        <v>0</v>
      </c>
      <c r="O47" s="14"/>
      <c r="P47" s="2">
        <f>SUM(OSRRefP22_3x_0)</f>
        <v>-9.64</v>
      </c>
      <c r="Q47" s="2"/>
      <c r="R47" s="6">
        <f t="shared" si="4"/>
        <v>-3.3501058723811231E-5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-9.64</v>
      </c>
      <c r="Y47" s="2"/>
      <c r="Z47" s="6">
        <f t="shared" si="7"/>
        <v>0</v>
      </c>
    </row>
    <row r="48" spans="1:26" s="70" customFormat="1" ht="15" hidden="1" customHeight="1" outlineLevel="2" x14ac:dyDescent="0.25">
      <c r="A48" s="25"/>
      <c r="B48" s="12" t="str">
        <f>CONCATENATE("          ","6272"," - ","CASH (OVER/SHORT)")</f>
        <v xml:space="preserve">          6272 - CASH (OVER/SHORT)</v>
      </c>
      <c r="C48" s="12"/>
      <c r="D48" s="8">
        <v>-27.77</v>
      </c>
      <c r="E48" s="3"/>
      <c r="F48" s="7">
        <f t="shared" si="0"/>
        <v>-4.605671892398767E-4</v>
      </c>
      <c r="G48" s="3"/>
      <c r="H48" s="8">
        <v>0</v>
      </c>
      <c r="I48" s="3"/>
      <c r="J48" s="7">
        <f t="shared" si="1"/>
        <v>0</v>
      </c>
      <c r="K48" s="3"/>
      <c r="L48" s="8">
        <f t="shared" si="2"/>
        <v>-27.77</v>
      </c>
      <c r="M48" s="3"/>
      <c r="N48" s="7">
        <f t="shared" si="3"/>
        <v>0</v>
      </c>
      <c r="O48" s="12"/>
      <c r="P48" s="8">
        <v>-9.64</v>
      </c>
      <c r="Q48" s="3"/>
      <c r="R48" s="7">
        <f t="shared" si="4"/>
        <v>-3.3501058723811231E-5</v>
      </c>
      <c r="S48" s="3"/>
      <c r="T48" s="8">
        <v>0</v>
      </c>
      <c r="U48" s="3"/>
      <c r="V48" s="7">
        <f t="shared" si="5"/>
        <v>0</v>
      </c>
      <c r="W48" s="3"/>
      <c r="X48" s="8">
        <f t="shared" si="6"/>
        <v>-9.64</v>
      </c>
      <c r="Y48" s="3"/>
      <c r="Z48" s="7">
        <f t="shared" si="7"/>
        <v>0</v>
      </c>
    </row>
    <row r="49" spans="1:26" s="69" customFormat="1" ht="15" customHeight="1" outlineLevel="1" collapsed="1" x14ac:dyDescent="0.25">
      <c r="A49" s="26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1087.3</v>
      </c>
      <c r="E49" s="2"/>
      <c r="F49" s="6">
        <f t="shared" si="0"/>
        <v>1.8032938597786027E-2</v>
      </c>
      <c r="G49" s="2"/>
      <c r="H49" s="2">
        <f>SUM(OSRRefH22_4x_0)</f>
        <v>2291</v>
      </c>
      <c r="I49" s="2"/>
      <c r="J49" s="6">
        <f t="shared" si="1"/>
        <v>7.9543087285605163E-2</v>
      </c>
      <c r="K49" s="2"/>
      <c r="L49" s="2">
        <f t="shared" si="2"/>
        <v>-1203.7</v>
      </c>
      <c r="M49" s="2"/>
      <c r="N49" s="6">
        <f t="shared" si="3"/>
        <v>-0.52540375381929294</v>
      </c>
      <c r="O49" s="14"/>
      <c r="P49" s="2">
        <f>SUM(OSRRefP22_4x_0)</f>
        <v>11511.23</v>
      </c>
      <c r="Q49" s="2"/>
      <c r="R49" s="6">
        <f t="shared" si="4"/>
        <v>4.0003982594740403E-2</v>
      </c>
      <c r="S49" s="2"/>
      <c r="T49" s="2">
        <f>SUM(OSRRefT22_4x_0)</f>
        <v>18458</v>
      </c>
      <c r="U49" s="2"/>
      <c r="V49" s="6">
        <f t="shared" si="5"/>
        <v>5.2689872514372821E-2</v>
      </c>
      <c r="W49" s="2"/>
      <c r="X49" s="2">
        <f t="shared" si="6"/>
        <v>-6946.77</v>
      </c>
      <c r="Y49" s="2"/>
      <c r="Z49" s="6">
        <f t="shared" si="7"/>
        <v>-0.37635550980604621</v>
      </c>
    </row>
    <row r="50" spans="1:26" s="70" customFormat="1" ht="15" hidden="1" customHeight="1" outlineLevel="2" x14ac:dyDescent="0.25">
      <c r="A50" s="25"/>
      <c r="B50" s="12" t="str">
        <f>CONCATENATE("          ","6381"," - ","BANK/CREDIT CARD FEES")</f>
        <v xml:space="preserve">          6381 - BANK/CREDIT CARD FEES</v>
      </c>
      <c r="C50" s="12"/>
      <c r="D50" s="8">
        <v>1087.3</v>
      </c>
      <c r="E50" s="3"/>
      <c r="F50" s="7">
        <f t="shared" si="0"/>
        <v>1.8032938597786027E-2</v>
      </c>
      <c r="G50" s="3"/>
      <c r="H50" s="8">
        <v>2291</v>
      </c>
      <c r="I50" s="3"/>
      <c r="J50" s="7">
        <f t="shared" si="1"/>
        <v>7.9543087285605163E-2</v>
      </c>
      <c r="K50" s="3"/>
      <c r="L50" s="8">
        <f t="shared" si="2"/>
        <v>-1203.7</v>
      </c>
      <c r="M50" s="3"/>
      <c r="N50" s="7">
        <f t="shared" si="3"/>
        <v>-0.52540375381929294</v>
      </c>
      <c r="O50" s="12"/>
      <c r="P50" s="8">
        <v>11511.23</v>
      </c>
      <c r="Q50" s="3"/>
      <c r="R50" s="7">
        <f t="shared" si="4"/>
        <v>4.0003982594740403E-2</v>
      </c>
      <c r="S50" s="3"/>
      <c r="T50" s="8">
        <v>18458</v>
      </c>
      <c r="U50" s="3"/>
      <c r="V50" s="7">
        <f t="shared" si="5"/>
        <v>5.2689872514372821E-2</v>
      </c>
      <c r="W50" s="3"/>
      <c r="X50" s="8">
        <f t="shared" si="6"/>
        <v>-6946.77</v>
      </c>
      <c r="Y50" s="3"/>
      <c r="Z50" s="7">
        <f t="shared" si="7"/>
        <v>-0.37635550980604621</v>
      </c>
    </row>
    <row r="51" spans="1:26" s="69" customFormat="1" ht="15" customHeight="1" outlineLevel="1" collapsed="1" x14ac:dyDescent="0.25">
      <c r="A51" s="26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5471.21</v>
      </c>
      <c r="E51" s="2"/>
      <c r="F51" s="6">
        <f t="shared" si="0"/>
        <v>9.0740360512823401E-2</v>
      </c>
      <c r="G51" s="2"/>
      <c r="H51" s="2">
        <f>SUM(OSRRefH22_5x_0)</f>
        <v>5471</v>
      </c>
      <c r="I51" s="2"/>
      <c r="J51" s="6">
        <f t="shared" si="1"/>
        <v>0.18995208666064856</v>
      </c>
      <c r="K51" s="2"/>
      <c r="L51" s="2">
        <f t="shared" si="2"/>
        <v>0.21000000000003638</v>
      </c>
      <c r="M51" s="2"/>
      <c r="N51" s="6">
        <f t="shared" si="3"/>
        <v>3.8384207640291792E-5</v>
      </c>
      <c r="O51" s="14"/>
      <c r="P51" s="2">
        <f>SUM(OSRRefP22_5x_0)</f>
        <v>60183.31</v>
      </c>
      <c r="Q51" s="2"/>
      <c r="R51" s="6">
        <f t="shared" si="4"/>
        <v>0.20914985503146633</v>
      </c>
      <c r="S51" s="2"/>
      <c r="T51" s="2">
        <f>SUM(OSRRefT22_5x_0)</f>
        <v>60181</v>
      </c>
      <c r="U51" s="2"/>
      <c r="V51" s="6">
        <f t="shared" si="5"/>
        <v>0.17179159268541935</v>
      </c>
      <c r="W51" s="2"/>
      <c r="X51" s="2">
        <f t="shared" si="6"/>
        <v>2.3099999999976717</v>
      </c>
      <c r="Y51" s="2"/>
      <c r="Z51" s="6">
        <f t="shared" si="7"/>
        <v>3.8384207640246452E-5</v>
      </c>
    </row>
    <row r="52" spans="1:26" s="70" customFormat="1" ht="15" hidden="1" customHeight="1" outlineLevel="2" x14ac:dyDescent="0.25">
      <c r="A52" s="25"/>
      <c r="B52" s="12" t="str">
        <f>CONCATENATE("          ","6321"," - ","BUILDING DEPRECIATION")</f>
        <v xml:space="preserve">          6321 - BUILDING DEPRECIATION</v>
      </c>
      <c r="C52" s="12"/>
      <c r="D52" s="8">
        <v>5080.51</v>
      </c>
      <c r="E52" s="3"/>
      <c r="F52" s="7">
        <f t="shared" si="0"/>
        <v>8.4260576543215199E-2</v>
      </c>
      <c r="G52" s="3"/>
      <c r="H52" s="8"/>
      <c r="I52" s="3"/>
      <c r="J52" s="7">
        <f t="shared" si="1"/>
        <v>0</v>
      </c>
      <c r="K52" s="3"/>
      <c r="L52" s="8">
        <f t="shared" si="2"/>
        <v>5080.51</v>
      </c>
      <c r="M52" s="3"/>
      <c r="N52" s="7">
        <f t="shared" si="3"/>
        <v>0</v>
      </c>
      <c r="O52" s="12"/>
      <c r="P52" s="8">
        <v>55885.61</v>
      </c>
      <c r="Q52" s="3"/>
      <c r="R52" s="7">
        <f t="shared" si="4"/>
        <v>0.1942144297122419</v>
      </c>
      <c r="S52" s="3"/>
      <c r="T52" s="8"/>
      <c r="U52" s="3"/>
      <c r="V52" s="7">
        <f t="shared" si="5"/>
        <v>0</v>
      </c>
      <c r="W52" s="3"/>
      <c r="X52" s="8">
        <f t="shared" si="6"/>
        <v>55885.61</v>
      </c>
      <c r="Y52" s="3"/>
      <c r="Z52" s="7">
        <f t="shared" si="7"/>
        <v>0</v>
      </c>
    </row>
    <row r="53" spans="1:26" s="70" customFormat="1" ht="15" hidden="1" customHeight="1" outlineLevel="2" x14ac:dyDescent="0.25">
      <c r="A53" s="25"/>
      <c r="B53" s="12" t="str">
        <f>CONCATENATE("          ","6322"," - ","EQUIPMENT DEPRECIATION EXPENSE")</f>
        <v xml:space="preserve">          6322 - EQUIPMENT DEPRECIATION EXPENSE</v>
      </c>
      <c r="C53" s="12"/>
      <c r="D53" s="8">
        <v>390.7</v>
      </c>
      <c r="E53" s="3"/>
      <c r="F53" s="7">
        <f t="shared" si="0"/>
        <v>6.4797839696082039E-3</v>
      </c>
      <c r="G53" s="3"/>
      <c r="H53" s="8">
        <v>5471</v>
      </c>
      <c r="I53" s="3"/>
      <c r="J53" s="7">
        <f t="shared" si="1"/>
        <v>0.18995208666064856</v>
      </c>
      <c r="K53" s="3"/>
      <c r="L53" s="8">
        <f t="shared" si="2"/>
        <v>-5080.3</v>
      </c>
      <c r="M53" s="3"/>
      <c r="N53" s="7">
        <f t="shared" si="3"/>
        <v>-0.92858709559495523</v>
      </c>
      <c r="O53" s="12"/>
      <c r="P53" s="8">
        <v>4297.7</v>
      </c>
      <c r="Q53" s="3"/>
      <c r="R53" s="7">
        <f t="shared" si="4"/>
        <v>1.493542531922443E-2</v>
      </c>
      <c r="S53" s="3"/>
      <c r="T53" s="8">
        <v>60181</v>
      </c>
      <c r="U53" s="3"/>
      <c r="V53" s="7">
        <f t="shared" si="5"/>
        <v>0.17179159268541935</v>
      </c>
      <c r="W53" s="3"/>
      <c r="X53" s="8">
        <f t="shared" si="6"/>
        <v>-55883.3</v>
      </c>
      <c r="Y53" s="3"/>
      <c r="Z53" s="7">
        <f t="shared" si="7"/>
        <v>-0.92858709559495523</v>
      </c>
    </row>
    <row r="54" spans="1:26" s="69" customFormat="1" ht="15" customHeight="1" outlineLevel="1" collapsed="1" x14ac:dyDescent="0.25">
      <c r="A54" s="26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SUM(OSRRefD22_6x_0)</f>
        <v>16.2</v>
      </c>
      <c r="E54" s="2"/>
      <c r="F54" s="6">
        <f t="shared" si="0"/>
        <v>2.6867801460878657E-4</v>
      </c>
      <c r="G54" s="2"/>
      <c r="H54" s="2">
        <f>SUM(OSRRefH22_6x_0)</f>
        <v>50</v>
      </c>
      <c r="I54" s="2"/>
      <c r="J54" s="6">
        <f t="shared" si="1"/>
        <v>1.7359905562113742E-3</v>
      </c>
      <c r="K54" s="2"/>
      <c r="L54" s="2">
        <f t="shared" si="2"/>
        <v>-33.799999999999997</v>
      </c>
      <c r="M54" s="2"/>
      <c r="N54" s="6">
        <f t="shared" si="3"/>
        <v>-0.67599999999999993</v>
      </c>
      <c r="O54" s="14"/>
      <c r="P54" s="2">
        <f>SUM(OSRRefP22_6x_0)</f>
        <v>16.2</v>
      </c>
      <c r="Q54" s="2"/>
      <c r="R54" s="6">
        <f t="shared" si="4"/>
        <v>5.6298459681093553E-5</v>
      </c>
      <c r="S54" s="2"/>
      <c r="T54" s="2">
        <f>SUM(OSRRefT22_6x_0)</f>
        <v>100</v>
      </c>
      <c r="U54" s="2"/>
      <c r="V54" s="6">
        <f t="shared" si="5"/>
        <v>2.854581889390661E-4</v>
      </c>
      <c r="W54" s="2"/>
      <c r="X54" s="2">
        <f t="shared" si="6"/>
        <v>-83.8</v>
      </c>
      <c r="Y54" s="2"/>
      <c r="Z54" s="6">
        <f t="shared" si="7"/>
        <v>-0.83799999999999997</v>
      </c>
    </row>
    <row r="55" spans="1:26" s="70" customFormat="1" ht="15" hidden="1" customHeight="1" outlineLevel="2" x14ac:dyDescent="0.25">
      <c r="A55" s="25"/>
      <c r="B55" s="12" t="str">
        <f>CONCATENATE("          ","6277"," - ","EMPLOYEE APPRECIATION")</f>
        <v xml:space="preserve">          6277 - EMPLOYEE APPRECIATION</v>
      </c>
      <c r="C55" s="12"/>
      <c r="D55" s="8">
        <v>16.2</v>
      </c>
      <c r="E55" s="3"/>
      <c r="F55" s="7">
        <f t="shared" ref="F55:F85" si="8">IF(D$12=0,0,D55/D$12)</f>
        <v>2.6867801460878657E-4</v>
      </c>
      <c r="G55" s="3"/>
      <c r="H55" s="8">
        <v>50</v>
      </c>
      <c r="I55" s="3"/>
      <c r="J55" s="7">
        <f t="shared" ref="J55:J85" si="9">IF(H$12=0,0,H55/H$12)</f>
        <v>1.7359905562113742E-3</v>
      </c>
      <c r="K55" s="3"/>
      <c r="L55" s="8">
        <f t="shared" ref="L55:L85" si="10">+D55-H55</f>
        <v>-33.799999999999997</v>
      </c>
      <c r="M55" s="3"/>
      <c r="N55" s="7">
        <f t="shared" ref="N55:N85" si="11">IF(H55=0,0,L55/H55)</f>
        <v>-0.67599999999999993</v>
      </c>
      <c r="O55" s="12"/>
      <c r="P55" s="8">
        <v>16.2</v>
      </c>
      <c r="Q55" s="3"/>
      <c r="R55" s="7">
        <f t="shared" ref="R55:R85" si="12">IF(P$12=0,0,P55/P$12)</f>
        <v>5.6298459681093553E-5</v>
      </c>
      <c r="S55" s="3"/>
      <c r="T55" s="8">
        <v>100</v>
      </c>
      <c r="U55" s="3"/>
      <c r="V55" s="7">
        <f t="shared" ref="V55:V85" si="13">IF(T$12=0,0,T55/T$12)</f>
        <v>2.854581889390661E-4</v>
      </c>
      <c r="W55" s="3"/>
      <c r="X55" s="8">
        <f t="shared" ref="X55:X85" si="14">+P55-T55</f>
        <v>-83.8</v>
      </c>
      <c r="Y55" s="3"/>
      <c r="Z55" s="7">
        <f t="shared" ref="Z55:Z85" si="15">IF(T55=0,0,X55/T55)</f>
        <v>-0.83799999999999997</v>
      </c>
    </row>
    <row r="56" spans="1:26" s="69" customFormat="1" ht="15" customHeight="1" outlineLevel="1" collapsed="1" x14ac:dyDescent="0.25">
      <c r="A56" s="26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SUM(OSRRefD22_7x_0)</f>
        <v>0</v>
      </c>
      <c r="E56" s="2"/>
      <c r="F56" s="6">
        <f t="shared" si="8"/>
        <v>0</v>
      </c>
      <c r="G56" s="2"/>
      <c r="H56" s="2">
        <f>SUM(OSRRefH22_7x_0)</f>
        <v>176</v>
      </c>
      <c r="I56" s="2"/>
      <c r="J56" s="6">
        <f t="shared" si="9"/>
        <v>6.1106867578640369E-3</v>
      </c>
      <c r="K56" s="2"/>
      <c r="L56" s="2">
        <f t="shared" si="10"/>
        <v>-176</v>
      </c>
      <c r="M56" s="2"/>
      <c r="N56" s="6">
        <f t="shared" si="11"/>
        <v>-1</v>
      </c>
      <c r="O56" s="14"/>
      <c r="P56" s="2">
        <f>SUM(OSRRefP22_7x_0)</f>
        <v>0</v>
      </c>
      <c r="Q56" s="2"/>
      <c r="R56" s="6">
        <f t="shared" si="12"/>
        <v>0</v>
      </c>
      <c r="S56" s="2"/>
      <c r="T56" s="2">
        <f>SUM(OSRRefT22_7x_0)</f>
        <v>1936</v>
      </c>
      <c r="U56" s="2"/>
      <c r="V56" s="6">
        <f t="shared" si="13"/>
        <v>5.52647053786032E-3</v>
      </c>
      <c r="W56" s="2"/>
      <c r="X56" s="2">
        <f t="shared" si="14"/>
        <v>-1936</v>
      </c>
      <c r="Y56" s="2"/>
      <c r="Z56" s="6">
        <f t="shared" si="15"/>
        <v>-1</v>
      </c>
    </row>
    <row r="57" spans="1:26" s="70" customFormat="1" ht="15" hidden="1" customHeight="1" outlineLevel="2" x14ac:dyDescent="0.25">
      <c r="A57" s="25"/>
      <c r="B57" s="12" t="str">
        <f>CONCATENATE("          ","6351"," - ","EQUIPMENT RENTAL")</f>
        <v xml:space="preserve">          6351 - EQUIPMENT RENTAL</v>
      </c>
      <c r="C57" s="12"/>
      <c r="D57" s="8"/>
      <c r="E57" s="3"/>
      <c r="F57" s="7">
        <f t="shared" si="8"/>
        <v>0</v>
      </c>
      <c r="G57" s="3"/>
      <c r="H57" s="8">
        <v>176</v>
      </c>
      <c r="I57" s="3"/>
      <c r="J57" s="7">
        <f t="shared" si="9"/>
        <v>6.1106867578640369E-3</v>
      </c>
      <c r="K57" s="3"/>
      <c r="L57" s="8">
        <f t="shared" si="10"/>
        <v>-176</v>
      </c>
      <c r="M57" s="3"/>
      <c r="N57" s="7">
        <f t="shared" si="11"/>
        <v>-1</v>
      </c>
      <c r="O57" s="12"/>
      <c r="P57" s="8"/>
      <c r="Q57" s="3"/>
      <c r="R57" s="7">
        <f t="shared" si="12"/>
        <v>0</v>
      </c>
      <c r="S57" s="3"/>
      <c r="T57" s="8">
        <v>1936</v>
      </c>
      <c r="U57" s="3"/>
      <c r="V57" s="7">
        <f t="shared" si="13"/>
        <v>5.52647053786032E-3</v>
      </c>
      <c r="W57" s="3"/>
      <c r="X57" s="8">
        <f t="shared" si="14"/>
        <v>-1936</v>
      </c>
      <c r="Y57" s="3"/>
      <c r="Z57" s="7">
        <f t="shared" si="15"/>
        <v>-1</v>
      </c>
    </row>
    <row r="58" spans="1:26" s="69" customFormat="1" ht="15" customHeight="1" outlineLevel="1" collapsed="1" x14ac:dyDescent="0.25">
      <c r="A58" s="26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SUM(OSRRefP22_8x_0)</f>
        <v>1002.45</v>
      </c>
      <c r="Q58" s="2"/>
      <c r="R58" s="6">
        <f t="shared" si="12"/>
        <v>3.483727833784706E-3</v>
      </c>
      <c r="S58" s="2"/>
      <c r="T58" s="2">
        <f>SUM(OSRRefT22_8x_0)</f>
        <v>455</v>
      </c>
      <c r="U58" s="2"/>
      <c r="V58" s="6">
        <f t="shared" si="13"/>
        <v>1.2988347596727507E-3</v>
      </c>
      <c r="W58" s="2"/>
      <c r="X58" s="2">
        <f t="shared" si="14"/>
        <v>547.45000000000005</v>
      </c>
      <c r="Y58" s="2"/>
      <c r="Z58" s="6">
        <f t="shared" si="15"/>
        <v>1.2031868131868133</v>
      </c>
    </row>
    <row r="59" spans="1:26" s="70" customFormat="1" ht="15" hidden="1" customHeight="1" outlineLevel="2" x14ac:dyDescent="0.25">
      <c r="A59" s="25"/>
      <c r="B59" s="12" t="str">
        <f>CONCATENATE("          ","6279"," - ","GENERAL EXPENSE")</f>
        <v xml:space="preserve">          6279 - GENERAL EXPENSE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1002.45</v>
      </c>
      <c r="Q59" s="3"/>
      <c r="R59" s="7">
        <f t="shared" si="12"/>
        <v>3.483727833784706E-3</v>
      </c>
      <c r="S59" s="3"/>
      <c r="T59" s="8">
        <v>455</v>
      </c>
      <c r="U59" s="3"/>
      <c r="V59" s="7">
        <f t="shared" si="13"/>
        <v>1.2988347596727507E-3</v>
      </c>
      <c r="W59" s="3"/>
      <c r="X59" s="8">
        <f t="shared" si="14"/>
        <v>547.45000000000005</v>
      </c>
      <c r="Y59" s="3"/>
      <c r="Z59" s="7">
        <f t="shared" si="15"/>
        <v>1.2031868131868133</v>
      </c>
    </row>
    <row r="60" spans="1:26" s="69" customFormat="1" ht="15" customHeight="1" outlineLevel="1" collapsed="1" x14ac:dyDescent="0.25">
      <c r="A60" s="26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SUM(OSRRefD22_9x_0)</f>
        <v>331.01</v>
      </c>
      <c r="E60" s="2"/>
      <c r="F60" s="6">
        <f t="shared" si="8"/>
        <v>5.489821581213237E-3</v>
      </c>
      <c r="G60" s="2"/>
      <c r="H60" s="2">
        <f>SUM(OSRRefH22_9x_0)</f>
        <v>330</v>
      </c>
      <c r="I60" s="2"/>
      <c r="J60" s="6">
        <f t="shared" si="9"/>
        <v>1.1457537670995071E-2</v>
      </c>
      <c r="K60" s="2"/>
      <c r="L60" s="2">
        <f t="shared" si="10"/>
        <v>1.0099999999999909</v>
      </c>
      <c r="M60" s="2"/>
      <c r="N60" s="6">
        <f t="shared" si="11"/>
        <v>3.0606060606060332E-3</v>
      </c>
      <c r="O60" s="14"/>
      <c r="P60" s="2">
        <f>SUM(OSRRefP22_9x_0)</f>
        <v>3641.11</v>
      </c>
      <c r="Q60" s="2"/>
      <c r="R60" s="6">
        <f t="shared" si="12"/>
        <v>1.2653634847495467E-2</v>
      </c>
      <c r="S60" s="2"/>
      <c r="T60" s="2">
        <f>SUM(OSRRefT22_9x_0)</f>
        <v>3630</v>
      </c>
      <c r="U60" s="2"/>
      <c r="V60" s="6">
        <f t="shared" si="13"/>
        <v>1.0362132258488099E-2</v>
      </c>
      <c r="W60" s="2"/>
      <c r="X60" s="2">
        <f t="shared" si="14"/>
        <v>11.110000000000127</v>
      </c>
      <c r="Y60" s="2"/>
      <c r="Z60" s="6">
        <f t="shared" si="15"/>
        <v>3.0606060606060957E-3</v>
      </c>
    </row>
    <row r="61" spans="1:26" s="70" customFormat="1" ht="15" hidden="1" customHeight="1" outlineLevel="2" x14ac:dyDescent="0.25">
      <c r="A61" s="25"/>
      <c r="B61" s="12" t="str">
        <f>CONCATENATE("          ","6314"," - ","LIABILITY INSURANCE")</f>
        <v xml:space="preserve">          6314 - LIABILITY INSURANCE</v>
      </c>
      <c r="C61" s="12"/>
      <c r="D61" s="8">
        <v>331.01</v>
      </c>
      <c r="E61" s="3"/>
      <c r="F61" s="7">
        <f t="shared" si="8"/>
        <v>5.489821581213237E-3</v>
      </c>
      <c r="G61" s="3"/>
      <c r="H61" s="8">
        <v>330</v>
      </c>
      <c r="I61" s="3"/>
      <c r="J61" s="7">
        <f t="shared" si="9"/>
        <v>1.1457537670995071E-2</v>
      </c>
      <c r="K61" s="3"/>
      <c r="L61" s="8">
        <f t="shared" si="10"/>
        <v>1.0099999999999909</v>
      </c>
      <c r="M61" s="3"/>
      <c r="N61" s="7">
        <f t="shared" si="11"/>
        <v>3.0606060606060332E-3</v>
      </c>
      <c r="O61" s="12"/>
      <c r="P61" s="8">
        <v>3641.11</v>
      </c>
      <c r="Q61" s="3"/>
      <c r="R61" s="7">
        <f t="shared" si="12"/>
        <v>1.2653634847495467E-2</v>
      </c>
      <c r="S61" s="3"/>
      <c r="T61" s="8">
        <v>3630</v>
      </c>
      <c r="U61" s="3"/>
      <c r="V61" s="7">
        <f t="shared" si="13"/>
        <v>1.0362132258488099E-2</v>
      </c>
      <c r="W61" s="3"/>
      <c r="X61" s="8">
        <f t="shared" si="14"/>
        <v>11.110000000000127</v>
      </c>
      <c r="Y61" s="3"/>
      <c r="Z61" s="7">
        <f t="shared" si="15"/>
        <v>3.0606060606060957E-3</v>
      </c>
    </row>
    <row r="62" spans="1:26" s="69" customFormat="1" ht="15" customHeight="1" outlineLevel="1" collapsed="1" x14ac:dyDescent="0.25">
      <c r="A62" s="26"/>
      <c r="B62" s="14" t="str">
        <f>CONCATENATE("     ","Interest                                          ")</f>
        <v xml:space="preserve">     Interest                                          </v>
      </c>
      <c r="C62" s="14"/>
      <c r="D62" s="2">
        <f>SUM(OSRRefD22_10x_0)</f>
        <v>3905</v>
      </c>
      <c r="E62" s="2"/>
      <c r="F62" s="6">
        <f t="shared" si="8"/>
        <v>6.4764669570821692E-2</v>
      </c>
      <c r="G62" s="2"/>
      <c r="H62" s="2">
        <f>SUM(OSRRefH22_10x_0)</f>
        <v>3760</v>
      </c>
      <c r="I62" s="2"/>
      <c r="J62" s="6">
        <f t="shared" si="9"/>
        <v>0.13054648982709535</v>
      </c>
      <c r="K62" s="2"/>
      <c r="L62" s="2">
        <f t="shared" si="10"/>
        <v>145</v>
      </c>
      <c r="M62" s="2"/>
      <c r="N62" s="6">
        <f t="shared" si="11"/>
        <v>3.8563829787234043E-2</v>
      </c>
      <c r="O62" s="14"/>
      <c r="P62" s="2">
        <f>SUM(OSRRefP22_10x_0)</f>
        <v>41805</v>
      </c>
      <c r="Q62" s="2"/>
      <c r="R62" s="6">
        <f t="shared" si="12"/>
        <v>0.14528130289926644</v>
      </c>
      <c r="S62" s="2"/>
      <c r="T62" s="2">
        <f>SUM(OSRRefT22_10x_0)</f>
        <v>42810</v>
      </c>
      <c r="U62" s="2"/>
      <c r="V62" s="6">
        <f t="shared" si="13"/>
        <v>0.12220465068481419</v>
      </c>
      <c r="W62" s="2"/>
      <c r="X62" s="2">
        <f t="shared" si="14"/>
        <v>-1005</v>
      </c>
      <c r="Y62" s="2"/>
      <c r="Z62" s="6">
        <f t="shared" si="15"/>
        <v>-2.3475823405746322E-2</v>
      </c>
    </row>
    <row r="63" spans="1:26" s="70" customFormat="1" ht="15" hidden="1" customHeight="1" outlineLevel="2" x14ac:dyDescent="0.25">
      <c r="A63" s="25"/>
      <c r="B63" s="12" t="str">
        <f>CONCATENATE("          ","6401"," - ","INTEREST EXPENSE")</f>
        <v xml:space="preserve">          6401 - INTEREST EXPENSE</v>
      </c>
      <c r="C63" s="12"/>
      <c r="D63" s="8">
        <v>3905</v>
      </c>
      <c r="E63" s="3"/>
      <c r="F63" s="7">
        <f t="shared" si="8"/>
        <v>6.4764669570821692E-2</v>
      </c>
      <c r="G63" s="3"/>
      <c r="H63" s="8">
        <v>3760</v>
      </c>
      <c r="I63" s="3"/>
      <c r="J63" s="7">
        <f t="shared" si="9"/>
        <v>0.13054648982709535</v>
      </c>
      <c r="K63" s="3"/>
      <c r="L63" s="8">
        <f t="shared" si="10"/>
        <v>145</v>
      </c>
      <c r="M63" s="3"/>
      <c r="N63" s="7">
        <f t="shared" si="11"/>
        <v>3.8563829787234043E-2</v>
      </c>
      <c r="O63" s="12"/>
      <c r="P63" s="8">
        <v>41805</v>
      </c>
      <c r="Q63" s="3"/>
      <c r="R63" s="7">
        <f t="shared" si="12"/>
        <v>0.14528130289926644</v>
      </c>
      <c r="S63" s="3"/>
      <c r="T63" s="8">
        <v>42810</v>
      </c>
      <c r="U63" s="3"/>
      <c r="V63" s="7">
        <f t="shared" si="13"/>
        <v>0.12220465068481419</v>
      </c>
      <c r="W63" s="3"/>
      <c r="X63" s="8">
        <f t="shared" si="14"/>
        <v>-1005</v>
      </c>
      <c r="Y63" s="3"/>
      <c r="Z63" s="7">
        <f t="shared" si="15"/>
        <v>-2.3475823405746322E-2</v>
      </c>
    </row>
    <row r="64" spans="1:26" s="69" customFormat="1" ht="15" customHeight="1" outlineLevel="1" collapsed="1" x14ac:dyDescent="0.25">
      <c r="A64" s="26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SUM(OSRRefD22_11x_0)</f>
        <v>0</v>
      </c>
      <c r="E64" s="2"/>
      <c r="F64" s="6">
        <f t="shared" si="8"/>
        <v>0</v>
      </c>
      <c r="G64" s="2"/>
      <c r="H64" s="2">
        <f>SUM(OSRRefH22_11x_0)</f>
        <v>100</v>
      </c>
      <c r="I64" s="2"/>
      <c r="J64" s="6">
        <f t="shared" si="9"/>
        <v>3.4719811124227485E-3</v>
      </c>
      <c r="K64" s="2"/>
      <c r="L64" s="2">
        <f t="shared" si="10"/>
        <v>-100</v>
      </c>
      <c r="M64" s="2"/>
      <c r="N64" s="6">
        <f t="shared" si="11"/>
        <v>-1</v>
      </c>
      <c r="O64" s="14"/>
      <c r="P64" s="2">
        <f>SUM(OSRRefP22_11x_0)</f>
        <v>2894.93</v>
      </c>
      <c r="Q64" s="2"/>
      <c r="R64" s="6">
        <f t="shared" si="12"/>
        <v>1.0060499992875812E-2</v>
      </c>
      <c r="S64" s="2"/>
      <c r="T64" s="2">
        <f>SUM(OSRRefT22_11x_0)</f>
        <v>5613</v>
      </c>
      <c r="U64" s="2"/>
      <c r="V64" s="6">
        <f t="shared" si="13"/>
        <v>1.6022768145149781E-2</v>
      </c>
      <c r="W64" s="2"/>
      <c r="X64" s="2">
        <f t="shared" si="14"/>
        <v>-2718.07</v>
      </c>
      <c r="Y64" s="2"/>
      <c r="Z64" s="6">
        <f t="shared" si="15"/>
        <v>-0.48424550151434176</v>
      </c>
    </row>
    <row r="65" spans="1:26" s="70" customFormat="1" ht="15" hidden="1" customHeight="1" outlineLevel="2" x14ac:dyDescent="0.25">
      <c r="A65" s="25"/>
      <c r="B65" s="12" t="str">
        <f>CONCATENATE("          ","6371"," - ","COMPUTER SOFTWARE MAINTENANCE")</f>
        <v xml:space="preserve">          6371 - COMPUTER SOFTWARE MAINTENANCE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/>
      <c r="Q65" s="3"/>
      <c r="R65" s="7">
        <f t="shared" si="12"/>
        <v>0</v>
      </c>
      <c r="S65" s="3"/>
      <c r="T65" s="8">
        <v>2623</v>
      </c>
      <c r="U65" s="3"/>
      <c r="V65" s="7">
        <f t="shared" si="13"/>
        <v>7.4875682958717039E-3</v>
      </c>
      <c r="W65" s="3"/>
      <c r="X65" s="8">
        <f t="shared" si="14"/>
        <v>-2623</v>
      </c>
      <c r="Y65" s="3"/>
      <c r="Z65" s="7">
        <f t="shared" si="15"/>
        <v>-1</v>
      </c>
    </row>
    <row r="66" spans="1:26" s="70" customFormat="1" ht="15" hidden="1" customHeight="1" outlineLevel="2" x14ac:dyDescent="0.25">
      <c r="A66" s="25"/>
      <c r="B66" s="12" t="str">
        <f>CONCATENATE("          ","6373"," - ","MAINTENANCE CONTRACTS")</f>
        <v xml:space="preserve">          6373 - MAINTENANCE CONTRACTS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733.68</v>
      </c>
      <c r="Q66" s="3"/>
      <c r="R66" s="7">
        <f t="shared" si="12"/>
        <v>2.5496946851126371E-3</v>
      </c>
      <c r="S66" s="3"/>
      <c r="T66" s="8">
        <v>260</v>
      </c>
      <c r="U66" s="3"/>
      <c r="V66" s="7">
        <f t="shared" si="13"/>
        <v>7.4219129124157188E-4</v>
      </c>
      <c r="W66" s="3"/>
      <c r="X66" s="8">
        <f t="shared" si="14"/>
        <v>473.67999999999995</v>
      </c>
      <c r="Y66" s="3"/>
      <c r="Z66" s="7">
        <f t="shared" si="15"/>
        <v>1.8218461538461537</v>
      </c>
    </row>
    <row r="67" spans="1:26" s="70" customFormat="1" ht="15" hidden="1" customHeight="1" outlineLevel="2" x14ac:dyDescent="0.25">
      <c r="A67" s="25"/>
      <c r="B67" s="12" t="str">
        <f>CONCATENATE("          ","6375"," - ","OUTSIDE REPAIRS &amp; MAINTENANCE")</f>
        <v xml:space="preserve">          6375 - OUTSIDE REPAIRS &amp; MAINTENANCE</v>
      </c>
      <c r="C67" s="12"/>
      <c r="D67" s="8"/>
      <c r="E67" s="3"/>
      <c r="F67" s="7">
        <f t="shared" si="8"/>
        <v>0</v>
      </c>
      <c r="G67" s="3"/>
      <c r="H67" s="8">
        <v>100</v>
      </c>
      <c r="I67" s="3"/>
      <c r="J67" s="7">
        <f t="shared" si="9"/>
        <v>3.4719811124227485E-3</v>
      </c>
      <c r="K67" s="3"/>
      <c r="L67" s="8">
        <f t="shared" si="10"/>
        <v>-100</v>
      </c>
      <c r="M67" s="3"/>
      <c r="N67" s="7">
        <f t="shared" si="11"/>
        <v>-1</v>
      </c>
      <c r="O67" s="12"/>
      <c r="P67" s="8">
        <v>2161.25</v>
      </c>
      <c r="Q67" s="3"/>
      <c r="R67" s="7">
        <f t="shared" si="12"/>
        <v>7.5108053077631758E-3</v>
      </c>
      <c r="S67" s="3"/>
      <c r="T67" s="8">
        <v>2730</v>
      </c>
      <c r="U67" s="3"/>
      <c r="V67" s="7">
        <f t="shared" si="13"/>
        <v>7.7930085580365047E-3</v>
      </c>
      <c r="W67" s="3"/>
      <c r="X67" s="8">
        <f t="shared" si="14"/>
        <v>-568.75</v>
      </c>
      <c r="Y67" s="3"/>
      <c r="Z67" s="7">
        <f t="shared" si="15"/>
        <v>-0.20833333333333334</v>
      </c>
    </row>
    <row r="68" spans="1:26" s="69" customFormat="1" ht="15" customHeight="1" outlineLevel="1" collapsed="1" x14ac:dyDescent="0.25">
      <c r="A68" s="26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SUM(OSRRefD22_12x_0)</f>
        <v>93.03</v>
      </c>
      <c r="E68" s="2"/>
      <c r="F68" s="6">
        <f t="shared" si="8"/>
        <v>1.542908376484902E-3</v>
      </c>
      <c r="G68" s="2"/>
      <c r="H68" s="2">
        <f>SUM(OSRRefH22_12x_0)</f>
        <v>192</v>
      </c>
      <c r="I68" s="2"/>
      <c r="J68" s="6">
        <f t="shared" si="9"/>
        <v>6.6662037358516772E-3</v>
      </c>
      <c r="K68" s="2"/>
      <c r="L68" s="2">
        <f t="shared" si="10"/>
        <v>-98.97</v>
      </c>
      <c r="M68" s="2"/>
      <c r="N68" s="6">
        <f t="shared" si="11"/>
        <v>-0.51546875000000003</v>
      </c>
      <c r="O68" s="14"/>
      <c r="P68" s="2">
        <f>SUM(OSRRefP22_12x_0)</f>
        <v>9936.2500000000018</v>
      </c>
      <c r="Q68" s="2"/>
      <c r="R68" s="6">
        <f t="shared" si="12"/>
        <v>3.4530590741127527E-2</v>
      </c>
      <c r="S68" s="2"/>
      <c r="T68" s="2">
        <f>SUM(OSRRefT22_12x_0)</f>
        <v>1929</v>
      </c>
      <c r="U68" s="2"/>
      <c r="V68" s="6">
        <f t="shared" si="13"/>
        <v>5.5064884646345846E-3</v>
      </c>
      <c r="W68" s="2"/>
      <c r="X68" s="2">
        <f t="shared" si="14"/>
        <v>8007.2500000000018</v>
      </c>
      <c r="Y68" s="2"/>
      <c r="Z68" s="6">
        <f t="shared" si="15"/>
        <v>4.1509849663037857</v>
      </c>
    </row>
    <row r="69" spans="1:26" s="70" customFormat="1" ht="15" hidden="1" customHeight="1" outlineLevel="2" x14ac:dyDescent="0.25">
      <c r="A69" s="25"/>
      <c r="B69" s="12" t="str">
        <f>CONCATENATE("          ","6282"," - ","JANITORIAL/EXTERMINATOR EXPENS")</f>
        <v xml:space="preserve">          6282 - JANITORIAL/EXTERMINATOR EXPENS</v>
      </c>
      <c r="C69" s="12"/>
      <c r="D69" s="8"/>
      <c r="E69" s="3"/>
      <c r="F69" s="7">
        <f t="shared" si="8"/>
        <v>0</v>
      </c>
      <c r="G69" s="3"/>
      <c r="H69" s="8">
        <v>158</v>
      </c>
      <c r="I69" s="3"/>
      <c r="J69" s="7">
        <f t="shared" si="9"/>
        <v>5.4857301576279422E-3</v>
      </c>
      <c r="K69" s="3"/>
      <c r="L69" s="8">
        <f t="shared" si="10"/>
        <v>-158</v>
      </c>
      <c r="M69" s="3"/>
      <c r="N69" s="7">
        <f t="shared" si="11"/>
        <v>-1</v>
      </c>
      <c r="O69" s="12"/>
      <c r="P69" s="8">
        <v>1717.7</v>
      </c>
      <c r="Q69" s="3"/>
      <c r="R69" s="7">
        <f t="shared" si="12"/>
        <v>5.9693743329761982E-3</v>
      </c>
      <c r="S69" s="3"/>
      <c r="T69" s="8">
        <v>1580</v>
      </c>
      <c r="U69" s="3"/>
      <c r="V69" s="7">
        <f t="shared" si="13"/>
        <v>4.5102393852372441E-3</v>
      </c>
      <c r="W69" s="3"/>
      <c r="X69" s="8">
        <f t="shared" si="14"/>
        <v>137.70000000000005</v>
      </c>
      <c r="Y69" s="3"/>
      <c r="Z69" s="7">
        <f t="shared" si="15"/>
        <v>8.7151898734177238E-2</v>
      </c>
    </row>
    <row r="70" spans="1:26" s="70" customFormat="1" ht="15" hidden="1" customHeight="1" outlineLevel="2" x14ac:dyDescent="0.25">
      <c r="A70" s="25"/>
      <c r="B70" s="12" t="str">
        <f>CONCATENATE("          ","6285"," - ","JANITORIAL SERVICES")</f>
        <v xml:space="preserve">          6285 - JANITORIAL SERVICES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7286.6</v>
      </c>
      <c r="Q70" s="3"/>
      <c r="R70" s="7">
        <f t="shared" si="12"/>
        <v>2.5322491130386194E-2</v>
      </c>
      <c r="S70" s="3"/>
      <c r="T70" s="8"/>
      <c r="U70" s="3"/>
      <c r="V70" s="7">
        <f t="shared" si="13"/>
        <v>0</v>
      </c>
      <c r="W70" s="3"/>
      <c r="X70" s="8">
        <f t="shared" si="14"/>
        <v>7286.6</v>
      </c>
      <c r="Y70" s="3"/>
      <c r="Z70" s="7">
        <f t="shared" si="15"/>
        <v>0</v>
      </c>
    </row>
    <row r="71" spans="1:26" s="70" customFormat="1" ht="15" hidden="1" customHeight="1" outlineLevel="2" x14ac:dyDescent="0.25">
      <c r="A71" s="25"/>
      <c r="B71" s="12" t="str">
        <f>CONCATENATE("          ","6286"," - ","LAUNDRY EXPENSE")</f>
        <v xml:space="preserve">          6286 - LAUNDRY EXPENSE</v>
      </c>
      <c r="C71" s="12"/>
      <c r="D71" s="8">
        <v>93.03</v>
      </c>
      <c r="E71" s="3"/>
      <c r="F71" s="7">
        <f t="shared" si="8"/>
        <v>1.542908376484902E-3</v>
      </c>
      <c r="G71" s="3"/>
      <c r="H71" s="8">
        <v>34</v>
      </c>
      <c r="I71" s="3"/>
      <c r="J71" s="7">
        <f t="shared" si="9"/>
        <v>1.1804735782237345E-3</v>
      </c>
      <c r="K71" s="3"/>
      <c r="L71" s="8">
        <f t="shared" si="10"/>
        <v>59.03</v>
      </c>
      <c r="M71" s="3"/>
      <c r="N71" s="7">
        <f t="shared" si="11"/>
        <v>1.7361764705882354</v>
      </c>
      <c r="O71" s="12"/>
      <c r="P71" s="8">
        <v>931.95</v>
      </c>
      <c r="Q71" s="3"/>
      <c r="R71" s="7">
        <f t="shared" si="12"/>
        <v>3.2387252777651321E-3</v>
      </c>
      <c r="S71" s="3"/>
      <c r="T71" s="8">
        <v>349</v>
      </c>
      <c r="U71" s="3"/>
      <c r="V71" s="7">
        <f t="shared" si="13"/>
        <v>9.9624907939734075E-4</v>
      </c>
      <c r="W71" s="3"/>
      <c r="X71" s="8">
        <f t="shared" si="14"/>
        <v>582.95000000000005</v>
      </c>
      <c r="Y71" s="3"/>
      <c r="Z71" s="7">
        <f t="shared" si="15"/>
        <v>1.6703438395415473</v>
      </c>
    </row>
    <row r="72" spans="1:26" s="69" customFormat="1" ht="15" customHeight="1" outlineLevel="1" collapsed="1" x14ac:dyDescent="0.25">
      <c r="A72" s="26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SUM(OSRRefD22_13x_0)</f>
        <v>922.96</v>
      </c>
      <c r="E72" s="2"/>
      <c r="F72" s="6">
        <f t="shared" si="8"/>
        <v>1.5307349405143559E-2</v>
      </c>
      <c r="G72" s="2"/>
      <c r="H72" s="2">
        <f>SUM(OSRRefH22_13x_0)</f>
        <v>600</v>
      </c>
      <c r="I72" s="2"/>
      <c r="J72" s="6">
        <f t="shared" si="9"/>
        <v>2.083188667453649E-2</v>
      </c>
      <c r="K72" s="2"/>
      <c r="L72" s="2">
        <f t="shared" si="10"/>
        <v>322.96000000000004</v>
      </c>
      <c r="M72" s="2"/>
      <c r="N72" s="6">
        <f t="shared" si="11"/>
        <v>0.53826666666666678</v>
      </c>
      <c r="O72" s="14"/>
      <c r="P72" s="2">
        <f>SUM(OSRRefP22_13x_0)</f>
        <v>4924.82</v>
      </c>
      <c r="Q72" s="2"/>
      <c r="R72" s="6">
        <f t="shared" si="12"/>
        <v>1.711480124732365E-2</v>
      </c>
      <c r="S72" s="2"/>
      <c r="T72" s="2">
        <f>SUM(OSRRefT22_13x_0)</f>
        <v>10650</v>
      </c>
      <c r="U72" s="2"/>
      <c r="V72" s="6">
        <f t="shared" si="13"/>
        <v>3.0401297122010538E-2</v>
      </c>
      <c r="W72" s="2"/>
      <c r="X72" s="2">
        <f t="shared" si="14"/>
        <v>-5725.18</v>
      </c>
      <c r="Y72" s="2"/>
      <c r="Z72" s="6">
        <f t="shared" si="15"/>
        <v>-0.53757558685446016</v>
      </c>
    </row>
    <row r="73" spans="1:26" s="70" customFormat="1" ht="15" hidden="1" customHeight="1" outlineLevel="2" x14ac:dyDescent="0.25">
      <c r="A73" s="25"/>
      <c r="B73" s="12" t="str">
        <f>CONCATENATE("          ","6234"," - ","EXPENDABLE SUPPLIES &amp; EQUIPMEN")</f>
        <v xml:space="preserve">          6234 - EXPENDABLE SUPPLIES &amp; EQUIPMEN</v>
      </c>
      <c r="C73" s="12"/>
      <c r="D73" s="8"/>
      <c r="E73" s="3"/>
      <c r="F73" s="7">
        <f t="shared" si="8"/>
        <v>0</v>
      </c>
      <c r="G73" s="3"/>
      <c r="H73" s="8">
        <v>50</v>
      </c>
      <c r="I73" s="3"/>
      <c r="J73" s="7">
        <f t="shared" si="9"/>
        <v>1.7359905562113742E-3</v>
      </c>
      <c r="K73" s="3"/>
      <c r="L73" s="8">
        <f t="shared" si="10"/>
        <v>-50</v>
      </c>
      <c r="M73" s="3"/>
      <c r="N73" s="7">
        <f t="shared" si="11"/>
        <v>-1</v>
      </c>
      <c r="O73" s="12"/>
      <c r="P73" s="8"/>
      <c r="Q73" s="3"/>
      <c r="R73" s="7">
        <f t="shared" si="12"/>
        <v>0</v>
      </c>
      <c r="S73" s="3"/>
      <c r="T73" s="8">
        <v>800</v>
      </c>
      <c r="U73" s="3"/>
      <c r="V73" s="7">
        <f t="shared" si="13"/>
        <v>2.2836655115125288E-3</v>
      </c>
      <c r="W73" s="3"/>
      <c r="X73" s="8">
        <f t="shared" si="14"/>
        <v>-800</v>
      </c>
      <c r="Y73" s="3"/>
      <c r="Z73" s="7">
        <f t="shared" si="15"/>
        <v>-1</v>
      </c>
    </row>
    <row r="74" spans="1:26" s="70" customFormat="1" ht="15" hidden="1" customHeight="1" outlineLevel="2" x14ac:dyDescent="0.25">
      <c r="A74" s="25"/>
      <c r="B74" s="12" t="str">
        <f>CONCATENATE("          ","6235"," - ","COVID-19 EXPENSES")</f>
        <v xml:space="preserve">          6235 - COVID-19 EXPENSES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71.45</v>
      </c>
      <c r="Q74" s="3"/>
      <c r="R74" s="7">
        <f t="shared" si="12"/>
        <v>2.4830400890210711E-4</v>
      </c>
      <c r="S74" s="3"/>
      <c r="T74" s="8"/>
      <c r="U74" s="3"/>
      <c r="V74" s="7">
        <f t="shared" si="13"/>
        <v>0</v>
      </c>
      <c r="W74" s="3"/>
      <c r="X74" s="8">
        <f t="shared" si="14"/>
        <v>71.45</v>
      </c>
      <c r="Y74" s="3"/>
      <c r="Z74" s="7">
        <f t="shared" si="15"/>
        <v>0</v>
      </c>
    </row>
    <row r="75" spans="1:26" s="70" customFormat="1" ht="15" hidden="1" customHeight="1" outlineLevel="2" x14ac:dyDescent="0.25">
      <c r="A75" s="25"/>
      <c r="B75" s="12" t="str">
        <f>CONCATENATE("          ","6237"," - ","JANITORIAL SUPPLIES")</f>
        <v xml:space="preserve">          6237 - JANITORIAL SUPPLIES</v>
      </c>
      <c r="C75" s="12"/>
      <c r="D75" s="8">
        <v>196.26</v>
      </c>
      <c r="E75" s="3"/>
      <c r="F75" s="7">
        <f t="shared" si="8"/>
        <v>3.2549843917975586E-3</v>
      </c>
      <c r="G75" s="3"/>
      <c r="H75" s="8">
        <v>0</v>
      </c>
      <c r="I75" s="3"/>
      <c r="J75" s="7">
        <f t="shared" si="9"/>
        <v>0</v>
      </c>
      <c r="K75" s="3"/>
      <c r="L75" s="8">
        <f t="shared" si="10"/>
        <v>196.26</v>
      </c>
      <c r="M75" s="3"/>
      <c r="N75" s="7">
        <f t="shared" si="11"/>
        <v>0</v>
      </c>
      <c r="O75" s="12"/>
      <c r="P75" s="8">
        <v>1186.73</v>
      </c>
      <c r="Q75" s="3"/>
      <c r="R75" s="7">
        <f t="shared" si="12"/>
        <v>4.1241401887249481E-3</v>
      </c>
      <c r="S75" s="3"/>
      <c r="T75" s="8">
        <v>250</v>
      </c>
      <c r="U75" s="3"/>
      <c r="V75" s="7">
        <f t="shared" si="13"/>
        <v>7.1364547234766527E-4</v>
      </c>
      <c r="W75" s="3"/>
      <c r="X75" s="8">
        <f t="shared" si="14"/>
        <v>936.73</v>
      </c>
      <c r="Y75" s="3"/>
      <c r="Z75" s="7">
        <f t="shared" si="15"/>
        <v>3.7469200000000003</v>
      </c>
    </row>
    <row r="76" spans="1:26" s="70" customFormat="1" ht="15" hidden="1" customHeight="1" outlineLevel="2" x14ac:dyDescent="0.25">
      <c r="A76" s="25"/>
      <c r="B76" s="12" t="str">
        <f>CONCATENATE("          ","6241"," - ","OFFICE EXPENSE")</f>
        <v xml:space="preserve">          6241 - OFFICE EXPENSE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>
        <v>427.98</v>
      </c>
      <c r="Q76" s="3"/>
      <c r="R76" s="7">
        <f t="shared" si="12"/>
        <v>1.4873218996490384E-3</v>
      </c>
      <c r="S76" s="3"/>
      <c r="T76" s="8"/>
      <c r="U76" s="3"/>
      <c r="V76" s="7">
        <f t="shared" si="13"/>
        <v>0</v>
      </c>
      <c r="W76" s="3"/>
      <c r="X76" s="8">
        <f t="shared" si="14"/>
        <v>427.98</v>
      </c>
      <c r="Y76" s="3"/>
      <c r="Z76" s="7">
        <f t="shared" si="15"/>
        <v>0</v>
      </c>
    </row>
    <row r="77" spans="1:26" s="70" customFormat="1" ht="15" hidden="1" customHeight="1" outlineLevel="2" x14ac:dyDescent="0.25">
      <c r="A77" s="25"/>
      <c r="B77" s="12" t="str">
        <f>CONCATENATE("          ","6243"," - ","PAPER SUPPLIES")</f>
        <v xml:space="preserve">          6243 - PAPER SUPPLIES</v>
      </c>
      <c r="C77" s="12"/>
      <c r="D77" s="8">
        <v>677.12</v>
      </c>
      <c r="E77" s="3"/>
      <c r="F77" s="7">
        <f t="shared" si="8"/>
        <v>1.1230077608142071E-2</v>
      </c>
      <c r="G77" s="3"/>
      <c r="H77" s="8">
        <v>200</v>
      </c>
      <c r="I77" s="3"/>
      <c r="J77" s="7">
        <f t="shared" si="9"/>
        <v>6.943962224845497E-3</v>
      </c>
      <c r="K77" s="3"/>
      <c r="L77" s="8">
        <f t="shared" si="10"/>
        <v>477.12</v>
      </c>
      <c r="M77" s="3"/>
      <c r="N77" s="7">
        <f t="shared" si="11"/>
        <v>2.3856000000000002</v>
      </c>
      <c r="O77" s="12"/>
      <c r="P77" s="8">
        <v>721.5</v>
      </c>
      <c r="Q77" s="3"/>
      <c r="R77" s="7">
        <f t="shared" si="12"/>
        <v>2.507366583945E-3</v>
      </c>
      <c r="S77" s="3"/>
      <c r="T77" s="8">
        <v>2000</v>
      </c>
      <c r="U77" s="3"/>
      <c r="V77" s="7">
        <f t="shared" si="13"/>
        <v>5.7091637787813222E-3</v>
      </c>
      <c r="W77" s="3"/>
      <c r="X77" s="8">
        <f t="shared" si="14"/>
        <v>-1278.5</v>
      </c>
      <c r="Y77" s="3"/>
      <c r="Z77" s="7">
        <f t="shared" si="15"/>
        <v>-0.63924999999999998</v>
      </c>
    </row>
    <row r="78" spans="1:26" s="70" customFormat="1" ht="15" hidden="1" customHeight="1" outlineLevel="2" x14ac:dyDescent="0.25">
      <c r="A78" s="25"/>
      <c r="B78" s="12" t="str">
        <f>CONCATENATE("          ","6247"," - ","STORE SUPPLIES")</f>
        <v xml:space="preserve">          6247 - STORE SUPPLIES</v>
      </c>
      <c r="C78" s="12"/>
      <c r="D78" s="8">
        <v>49.58</v>
      </c>
      <c r="E78" s="3"/>
      <c r="F78" s="7">
        <f t="shared" si="8"/>
        <v>8.2228740520392824E-4</v>
      </c>
      <c r="G78" s="3"/>
      <c r="H78" s="8">
        <v>350</v>
      </c>
      <c r="I78" s="3"/>
      <c r="J78" s="7">
        <f t="shared" si="9"/>
        <v>1.215193389347962E-2</v>
      </c>
      <c r="K78" s="3"/>
      <c r="L78" s="8">
        <f t="shared" si="10"/>
        <v>-300.42</v>
      </c>
      <c r="M78" s="3"/>
      <c r="N78" s="7">
        <f t="shared" si="11"/>
        <v>-0.85834285714285719</v>
      </c>
      <c r="O78" s="12"/>
      <c r="P78" s="8">
        <v>2517.16</v>
      </c>
      <c r="Q78" s="3"/>
      <c r="R78" s="7">
        <f t="shared" si="12"/>
        <v>8.747668566102559E-3</v>
      </c>
      <c r="S78" s="3"/>
      <c r="T78" s="8">
        <v>7600</v>
      </c>
      <c r="U78" s="3"/>
      <c r="V78" s="7">
        <f t="shared" si="13"/>
        <v>2.1694822359369023E-2</v>
      </c>
      <c r="W78" s="3"/>
      <c r="X78" s="8">
        <f t="shared" si="14"/>
        <v>-5082.84</v>
      </c>
      <c r="Y78" s="3"/>
      <c r="Z78" s="7">
        <f t="shared" si="15"/>
        <v>-0.66879473684210533</v>
      </c>
    </row>
    <row r="79" spans="1:26" s="69" customFormat="1" ht="15" customHeight="1" outlineLevel="1" collapsed="1" x14ac:dyDescent="0.25">
      <c r="A79" s="26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SUM(OSRRefD22_14x_0)</f>
        <v>97</v>
      </c>
      <c r="E79" s="2"/>
      <c r="F79" s="6">
        <f t="shared" si="8"/>
        <v>1.6087510751266849E-3</v>
      </c>
      <c r="G79" s="2"/>
      <c r="H79" s="2">
        <f>SUM(OSRRefH22_14x_0)</f>
        <v>125</v>
      </c>
      <c r="I79" s="2"/>
      <c r="J79" s="6">
        <f t="shared" si="9"/>
        <v>4.3399763905284357E-3</v>
      </c>
      <c r="K79" s="2"/>
      <c r="L79" s="2">
        <f t="shared" si="10"/>
        <v>-28</v>
      </c>
      <c r="M79" s="2"/>
      <c r="N79" s="6">
        <f t="shared" si="11"/>
        <v>-0.224</v>
      </c>
      <c r="O79" s="14"/>
      <c r="P79" s="2">
        <f>SUM(OSRRefP22_14x_0)</f>
        <v>777</v>
      </c>
      <c r="Q79" s="2"/>
      <c r="R79" s="6">
        <f t="shared" si="12"/>
        <v>2.7002409365561538E-3</v>
      </c>
      <c r="S79" s="2"/>
      <c r="T79" s="2">
        <f>SUM(OSRRefT22_14x_0)</f>
        <v>1375</v>
      </c>
      <c r="U79" s="2"/>
      <c r="V79" s="6">
        <f t="shared" si="13"/>
        <v>3.9250500979121587E-3</v>
      </c>
      <c r="W79" s="2"/>
      <c r="X79" s="2">
        <f t="shared" si="14"/>
        <v>-598</v>
      </c>
      <c r="Y79" s="2"/>
      <c r="Z79" s="6">
        <f t="shared" si="15"/>
        <v>-0.43490909090909091</v>
      </c>
    </row>
    <row r="80" spans="1:26" s="70" customFormat="1" ht="15" hidden="1" customHeight="1" outlineLevel="2" x14ac:dyDescent="0.25">
      <c r="A80" s="25"/>
      <c r="B80" s="12" t="str">
        <f>CONCATENATE("          ","6303"," - ","DATA PHONE LINES")</f>
        <v xml:space="preserve">          6303 - DATA PHONE LINES</v>
      </c>
      <c r="C80" s="12"/>
      <c r="D80" s="8"/>
      <c r="E80" s="3"/>
      <c r="F80" s="7">
        <f t="shared" si="8"/>
        <v>0</v>
      </c>
      <c r="G80" s="3"/>
      <c r="H80" s="8">
        <v>50</v>
      </c>
      <c r="I80" s="3"/>
      <c r="J80" s="7">
        <f t="shared" si="9"/>
        <v>1.7359905562113742E-3</v>
      </c>
      <c r="K80" s="3"/>
      <c r="L80" s="8">
        <f t="shared" si="10"/>
        <v>-50</v>
      </c>
      <c r="M80" s="3"/>
      <c r="N80" s="7">
        <f t="shared" si="11"/>
        <v>-1</v>
      </c>
      <c r="O80" s="12"/>
      <c r="P80" s="8"/>
      <c r="Q80" s="3"/>
      <c r="R80" s="7">
        <f t="shared" si="12"/>
        <v>0</v>
      </c>
      <c r="S80" s="3"/>
      <c r="T80" s="8">
        <v>550</v>
      </c>
      <c r="U80" s="3"/>
      <c r="V80" s="7">
        <f t="shared" si="13"/>
        <v>1.5700200391648635E-3</v>
      </c>
      <c r="W80" s="3"/>
      <c r="X80" s="8">
        <f t="shared" si="14"/>
        <v>-550</v>
      </c>
      <c r="Y80" s="3"/>
      <c r="Z80" s="7">
        <f t="shared" si="15"/>
        <v>-1</v>
      </c>
    </row>
    <row r="81" spans="1:26" s="70" customFormat="1" ht="15" hidden="1" customHeight="1" outlineLevel="2" x14ac:dyDescent="0.25">
      <c r="A81" s="25"/>
      <c r="B81" s="12" t="str">
        <f>CONCATENATE("          ","6309"," - ","TELEPHONE")</f>
        <v xml:space="preserve">          6309 - TELEPHONE</v>
      </c>
      <c r="C81" s="12"/>
      <c r="D81" s="8">
        <v>97</v>
      </c>
      <c r="E81" s="3"/>
      <c r="F81" s="7">
        <f t="shared" si="8"/>
        <v>1.6087510751266849E-3</v>
      </c>
      <c r="G81" s="3"/>
      <c r="H81" s="8">
        <v>75</v>
      </c>
      <c r="I81" s="3"/>
      <c r="J81" s="7">
        <f t="shared" si="9"/>
        <v>2.6039858343170613E-3</v>
      </c>
      <c r="K81" s="3"/>
      <c r="L81" s="8">
        <f t="shared" si="10"/>
        <v>22</v>
      </c>
      <c r="M81" s="3"/>
      <c r="N81" s="7">
        <f t="shared" si="11"/>
        <v>0.29333333333333333</v>
      </c>
      <c r="O81" s="12"/>
      <c r="P81" s="8">
        <v>777</v>
      </c>
      <c r="Q81" s="3"/>
      <c r="R81" s="7">
        <f t="shared" si="12"/>
        <v>2.7002409365561538E-3</v>
      </c>
      <c r="S81" s="3"/>
      <c r="T81" s="8">
        <v>825</v>
      </c>
      <c r="U81" s="3"/>
      <c r="V81" s="7">
        <f t="shared" si="13"/>
        <v>2.3550300587472954E-3</v>
      </c>
      <c r="W81" s="3"/>
      <c r="X81" s="8">
        <f t="shared" si="14"/>
        <v>-48</v>
      </c>
      <c r="Y81" s="3"/>
      <c r="Z81" s="7">
        <f t="shared" si="15"/>
        <v>-5.8181818181818182E-2</v>
      </c>
    </row>
    <row r="82" spans="1:26" s="69" customFormat="1" ht="15" customHeight="1" outlineLevel="1" collapsed="1" x14ac:dyDescent="0.25">
      <c r="A82" s="26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SUM(OSRRefD22_15x_0)</f>
        <v>0</v>
      </c>
      <c r="E82" s="2"/>
      <c r="F82" s="6">
        <f t="shared" si="8"/>
        <v>0</v>
      </c>
      <c r="G82" s="2"/>
      <c r="H82" s="2">
        <f>SUM(OSRRefH22_15x_0)</f>
        <v>0</v>
      </c>
      <c r="I82" s="2"/>
      <c r="J82" s="6">
        <f t="shared" si="9"/>
        <v>0</v>
      </c>
      <c r="K82" s="2"/>
      <c r="L82" s="2">
        <f t="shared" si="10"/>
        <v>0</v>
      </c>
      <c r="M82" s="2"/>
      <c r="N82" s="6">
        <f t="shared" si="11"/>
        <v>0</v>
      </c>
      <c r="O82" s="14"/>
      <c r="P82" s="2">
        <f>SUM(OSRRefP22_15x_0)</f>
        <v>120</v>
      </c>
      <c r="Q82" s="2"/>
      <c r="R82" s="6">
        <f t="shared" si="12"/>
        <v>4.170256272673597E-4</v>
      </c>
      <c r="S82" s="2"/>
      <c r="T82" s="2">
        <f>SUM(OSRRefT22_15x_0)</f>
        <v>0</v>
      </c>
      <c r="U82" s="2"/>
      <c r="V82" s="6">
        <f t="shared" si="13"/>
        <v>0</v>
      </c>
      <c r="W82" s="2"/>
      <c r="X82" s="2">
        <f t="shared" si="14"/>
        <v>120</v>
      </c>
      <c r="Y82" s="2"/>
      <c r="Z82" s="6">
        <f t="shared" si="15"/>
        <v>0</v>
      </c>
    </row>
    <row r="83" spans="1:26" s="70" customFormat="1" ht="15" hidden="1" customHeight="1" outlineLevel="2" x14ac:dyDescent="0.25">
      <c r="A83" s="25"/>
      <c r="B83" s="12" t="str">
        <f>CONCATENATE("          ","6376"," - ","TRAINING")</f>
        <v xml:space="preserve">          6376 - TRAINING</v>
      </c>
      <c r="C83" s="12"/>
      <c r="D83" s="8"/>
      <c r="E83" s="3"/>
      <c r="F83" s="7">
        <f t="shared" si="8"/>
        <v>0</v>
      </c>
      <c r="G83" s="3"/>
      <c r="H83" s="8"/>
      <c r="I83" s="3"/>
      <c r="J83" s="7">
        <f t="shared" si="9"/>
        <v>0</v>
      </c>
      <c r="K83" s="3"/>
      <c r="L83" s="8">
        <f t="shared" si="10"/>
        <v>0</v>
      </c>
      <c r="M83" s="3"/>
      <c r="N83" s="7">
        <f t="shared" si="11"/>
        <v>0</v>
      </c>
      <c r="O83" s="12"/>
      <c r="P83" s="8">
        <v>120</v>
      </c>
      <c r="Q83" s="3"/>
      <c r="R83" s="7">
        <f t="shared" si="12"/>
        <v>4.170256272673597E-4</v>
      </c>
      <c r="S83" s="3"/>
      <c r="T83" s="8"/>
      <c r="U83" s="3"/>
      <c r="V83" s="7">
        <f t="shared" si="13"/>
        <v>0</v>
      </c>
      <c r="W83" s="3"/>
      <c r="X83" s="8">
        <f t="shared" si="14"/>
        <v>120</v>
      </c>
      <c r="Y83" s="3"/>
      <c r="Z83" s="7">
        <f t="shared" si="15"/>
        <v>0</v>
      </c>
    </row>
    <row r="84" spans="1:26" s="69" customFormat="1" ht="15" customHeight="1" outlineLevel="1" collapsed="1" x14ac:dyDescent="0.25">
      <c r="A84" s="26"/>
      <c r="B84" s="14" t="str">
        <f>CONCATENATE("     ","Utilities                                         ")</f>
        <v xml:space="preserve">     Utilities                                         </v>
      </c>
      <c r="C84" s="14"/>
      <c r="D84" s="2">
        <f>SUM(OSRRefD22_16x_0)</f>
        <v>242.98</v>
      </c>
      <c r="E84" s="2"/>
      <c r="F84" s="6">
        <f t="shared" si="8"/>
        <v>4.0298385178791953E-3</v>
      </c>
      <c r="G84" s="2"/>
      <c r="H84" s="2">
        <f>SUM(OSRRefH22_16x_0)</f>
        <v>0</v>
      </c>
      <c r="I84" s="2"/>
      <c r="J84" s="6">
        <f t="shared" si="9"/>
        <v>0</v>
      </c>
      <c r="K84" s="2"/>
      <c r="L84" s="2">
        <f t="shared" si="10"/>
        <v>242.98</v>
      </c>
      <c r="M84" s="2"/>
      <c r="N84" s="6">
        <f t="shared" si="11"/>
        <v>0</v>
      </c>
      <c r="O84" s="14"/>
      <c r="P84" s="2">
        <f>SUM(OSRRefP22_16x_0)</f>
        <v>1242.98</v>
      </c>
      <c r="Q84" s="2"/>
      <c r="R84" s="6">
        <f t="shared" si="12"/>
        <v>4.3196209515065226E-3</v>
      </c>
      <c r="S84" s="2"/>
      <c r="T84" s="2">
        <f>SUM(OSRRefT22_16x_0)</f>
        <v>0</v>
      </c>
      <c r="U84" s="2"/>
      <c r="V84" s="6">
        <f t="shared" si="13"/>
        <v>0</v>
      </c>
      <c r="W84" s="2"/>
      <c r="X84" s="2">
        <f t="shared" si="14"/>
        <v>1242.98</v>
      </c>
      <c r="Y84" s="2"/>
      <c r="Z84" s="6">
        <f t="shared" si="15"/>
        <v>0</v>
      </c>
    </row>
    <row r="85" spans="1:26" s="70" customFormat="1" ht="15" hidden="1" customHeight="1" outlineLevel="2" x14ac:dyDescent="0.25">
      <c r="A85" s="25"/>
      <c r="B85" s="12" t="str">
        <f>CONCATENATE("          ","6274"," - ","UTILITIES")</f>
        <v xml:space="preserve">          6274 - UTILITIES</v>
      </c>
      <c r="C85" s="12"/>
      <c r="D85" s="8">
        <v>242.98</v>
      </c>
      <c r="E85" s="3"/>
      <c r="F85" s="7">
        <f t="shared" si="8"/>
        <v>4.0298385178791953E-3</v>
      </c>
      <c r="G85" s="3"/>
      <c r="H85" s="8">
        <v>0</v>
      </c>
      <c r="I85" s="3"/>
      <c r="J85" s="7">
        <f t="shared" si="9"/>
        <v>0</v>
      </c>
      <c r="K85" s="3"/>
      <c r="L85" s="8">
        <f t="shared" si="10"/>
        <v>242.98</v>
      </c>
      <c r="M85" s="3"/>
      <c r="N85" s="7">
        <f t="shared" si="11"/>
        <v>0</v>
      </c>
      <c r="O85" s="12"/>
      <c r="P85" s="8">
        <v>1242.98</v>
      </c>
      <c r="Q85" s="3"/>
      <c r="R85" s="7">
        <f t="shared" si="12"/>
        <v>4.3196209515065226E-3</v>
      </c>
      <c r="S85" s="3"/>
      <c r="T85" s="8">
        <v>0</v>
      </c>
      <c r="U85" s="3"/>
      <c r="V85" s="7">
        <f t="shared" si="13"/>
        <v>0</v>
      </c>
      <c r="W85" s="3"/>
      <c r="X85" s="8">
        <f t="shared" si="14"/>
        <v>1242.98</v>
      </c>
      <c r="Y85" s="3"/>
      <c r="Z85" s="7">
        <f t="shared" si="15"/>
        <v>0</v>
      </c>
    </row>
    <row r="86" spans="1:26" s="65" customFormat="1" ht="15" customHeight="1" x14ac:dyDescent="0.25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x14ac:dyDescent="0.25">
      <c r="A87" s="11"/>
      <c r="B87" s="27" t="s">
        <v>291</v>
      </c>
      <c r="C87" s="11"/>
      <c r="D87" s="5">
        <f>SUM(0)</f>
        <v>0</v>
      </c>
      <c r="E87" s="5"/>
      <c r="F87" s="13">
        <f>IF(D$12=0,0,D87/D$12)</f>
        <v>0</v>
      </c>
      <c r="G87" s="5"/>
      <c r="H87" s="5">
        <f>SUM(0)</f>
        <v>0</v>
      </c>
      <c r="I87" s="5"/>
      <c r="J87" s="13">
        <f>IF(H$12=0,0,H87/H$12)</f>
        <v>0</v>
      </c>
      <c r="K87" s="5"/>
      <c r="L87" s="5">
        <f>+D87-H87</f>
        <v>0</v>
      </c>
      <c r="M87" s="5"/>
      <c r="N87" s="13">
        <f>IF(H87=0,0,L87/H87)</f>
        <v>0</v>
      </c>
      <c r="O87" s="11"/>
      <c r="P87" s="5">
        <f>SUM(0)</f>
        <v>0</v>
      </c>
      <c r="Q87" s="5"/>
      <c r="R87" s="13">
        <f>IF(P$12=0,0,P87/P$12)</f>
        <v>0</v>
      </c>
      <c r="S87" s="5"/>
      <c r="T87" s="5">
        <f>SUM(0)</f>
        <v>0</v>
      </c>
      <c r="U87" s="5"/>
      <c r="V87" s="13">
        <f>IF(T$12=0,0,T87/T$12)</f>
        <v>0</v>
      </c>
      <c r="W87" s="5"/>
      <c r="X87" s="5">
        <f>+P87-T87</f>
        <v>0</v>
      </c>
      <c r="Y87" s="5"/>
      <c r="Z87" s="13">
        <f>IF(T87=0,0,X87/T87)</f>
        <v>0</v>
      </c>
    </row>
    <row r="88" spans="1:26" ht="15" customHeight="1" x14ac:dyDescent="0.25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3" customFormat="1" ht="15" customHeight="1" x14ac:dyDescent="0.25">
      <c r="A89" s="11"/>
      <c r="B89" s="28" t="s">
        <v>292</v>
      </c>
      <c r="C89" s="28"/>
      <c r="D89" s="22">
        <f>+D21-D23+D87</f>
        <v>3199.2800000000025</v>
      </c>
      <c r="E89" s="15"/>
      <c r="F89" s="21">
        <f>IF(D$12=0,0,D89/D$12)</f>
        <v>5.306025917145675E-2</v>
      </c>
      <c r="G89" s="15"/>
      <c r="H89" s="22">
        <f>+H21-H23+H87</f>
        <v>-12849.611335057692</v>
      </c>
      <c r="I89" s="15"/>
      <c r="J89" s="21">
        <f>IF(H$12=0,0,H89/H$12)</f>
        <v>-0.44613607857293563</v>
      </c>
      <c r="K89" s="16"/>
      <c r="L89" s="22">
        <f>+D89-H89</f>
        <v>16048.891335057695</v>
      </c>
      <c r="M89" s="16"/>
      <c r="N89" s="21">
        <f>IF(H89=0,0,L89/H89)</f>
        <v>-1.2489787369110055</v>
      </c>
      <c r="O89" s="27"/>
      <c r="P89" s="22">
        <f>+P21-P23+P87</f>
        <v>-87302.16000000012</v>
      </c>
      <c r="Q89" s="15"/>
      <c r="R89" s="21">
        <f>IF(P$12=0,0,P89/P$12)</f>
        <v>-0.3033936502982954</v>
      </c>
      <c r="S89" s="15"/>
      <c r="T89" s="22">
        <f>+T21-T23+T87</f>
        <v>-138483.75373994233</v>
      </c>
      <c r="U89" s="15"/>
      <c r="V89" s="21">
        <f>IF(T$12=0,0,T89/T$12)</f>
        <v>-0.39531321540087561</v>
      </c>
      <c r="W89" s="16"/>
      <c r="X89" s="22">
        <f>+P89-T89</f>
        <v>51181.593739942211</v>
      </c>
      <c r="Y89" s="16"/>
      <c r="Z89" s="21">
        <f>IF(T89=0,0,X89/T89)</f>
        <v>-0.36958554601325849</v>
      </c>
    </row>
    <row r="90" spans="1:26" ht="15" customHeight="1" x14ac:dyDescent="0.25">
      <c r="A90" s="10"/>
      <c r="B90" s="11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25">
      <c r="A91" s="49"/>
      <c r="B91" s="11" t="s">
        <v>293</v>
      </c>
      <c r="C91" s="11"/>
      <c r="D91" s="5">
        <v>6583.43</v>
      </c>
      <c r="E91" s="5"/>
      <c r="F91" s="13">
        <f>IF(D$12=0,0,D91/D$12)</f>
        <v>0.10918659887135332</v>
      </c>
      <c r="G91" s="5"/>
      <c r="H91" s="5">
        <v>3875</v>
      </c>
      <c r="I91" s="5"/>
      <c r="J91" s="13">
        <f>IF(H$12=0,0,H91/H$12)</f>
        <v>0.1345392681063815</v>
      </c>
      <c r="K91" s="5"/>
      <c r="L91" s="5">
        <f>+D91-H91</f>
        <v>2708.4300000000003</v>
      </c>
      <c r="M91" s="5"/>
      <c r="N91" s="13">
        <f>IF(H91=0,0,L91/H91)</f>
        <v>0.69894967741935488</v>
      </c>
      <c r="O91" s="11"/>
      <c r="P91" s="5">
        <v>32350.63</v>
      </c>
      <c r="Q91" s="5"/>
      <c r="R91" s="13">
        <f>IF(P$12=0,0,P91/P$12)</f>
        <v>0.1124253480687022</v>
      </c>
      <c r="S91" s="5"/>
      <c r="T91" s="5">
        <v>43426</v>
      </c>
      <c r="U91" s="5"/>
      <c r="V91" s="13">
        <f>IF(T$12=0,0,T91/T$12)</f>
        <v>0.12396307312867884</v>
      </c>
      <c r="W91" s="5"/>
      <c r="X91" s="5">
        <f>+P91-T91</f>
        <v>-11075.369999999999</v>
      </c>
      <c r="Y91" s="5"/>
      <c r="Z91" s="13">
        <f>IF(T91=0,0,X91/T91)</f>
        <v>-0.25504006816193064</v>
      </c>
    </row>
    <row r="92" spans="1:26" ht="15" customHeight="1" x14ac:dyDescent="0.25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25">
      <c r="A93" s="11"/>
      <c r="B93" s="28" t="s">
        <v>294</v>
      </c>
      <c r="C93" s="28"/>
      <c r="D93" s="34">
        <f>+D89-D91</f>
        <v>-3384.1499999999978</v>
      </c>
      <c r="E93" s="15"/>
      <c r="F93" s="32">
        <f>IF(D$12=0,0,D93/D$12)</f>
        <v>-5.6126339699896569E-2</v>
      </c>
      <c r="G93" s="15"/>
      <c r="H93" s="34">
        <f>+H89-H91</f>
        <v>-16724.611335057692</v>
      </c>
      <c r="I93" s="15"/>
      <c r="J93" s="32">
        <f>IF(H$12=0,0,H93/H$12)</f>
        <v>-0.58067534667931719</v>
      </c>
      <c r="K93" s="16"/>
      <c r="L93" s="34">
        <f>D93-H93</f>
        <v>13340.461335057695</v>
      </c>
      <c r="M93" s="16"/>
      <c r="N93" s="32">
        <f>IF(H93=0,0,L93/H93)</f>
        <v>-0.79765449060653315</v>
      </c>
      <c r="O93" s="27"/>
      <c r="P93" s="34">
        <f>+P89-P91</f>
        <v>-119652.79000000012</v>
      </c>
      <c r="Q93" s="15"/>
      <c r="R93" s="32">
        <f>IF(P$12=0,0,P93/P$12)</f>
        <v>-0.41581899836699759</v>
      </c>
      <c r="S93" s="15"/>
      <c r="T93" s="34">
        <f>+T89-T91</f>
        <v>-181909.75373994233</v>
      </c>
      <c r="U93" s="15"/>
      <c r="V93" s="32">
        <f>IF(T$12=0,0,T93/T$12)</f>
        <v>-0.51927628852955443</v>
      </c>
      <c r="W93" s="16"/>
      <c r="X93" s="34">
        <f>P93-T93</f>
        <v>62256.963739942206</v>
      </c>
      <c r="Y93" s="16"/>
      <c r="Z93" s="32">
        <f>IF(T93=0,0,X93/T93)</f>
        <v>-0.34224093244029447</v>
      </c>
    </row>
    <row r="94" spans="1:26" ht="15" customHeight="1" x14ac:dyDescent="0.25">
      <c r="A94" s="10"/>
      <c r="B94" s="10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ht="15" customHeight="1" x14ac:dyDescent="0.25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25">
      <c r="A96" s="11"/>
      <c r="B96" s="28" t="s">
        <v>297</v>
      </c>
      <c r="C96" s="28"/>
      <c r="D96" s="30">
        <f>SUM(D93:D95)</f>
        <v>-3384.1499999999978</v>
      </c>
      <c r="E96" s="15"/>
      <c r="F96" s="33">
        <f>IF(D$12=0,0,D96/D$12)</f>
        <v>-5.6126339699896569E-2</v>
      </c>
      <c r="G96" s="15"/>
      <c r="H96" s="30">
        <f>SUM(H93:H95)</f>
        <v>-16724.611335057692</v>
      </c>
      <c r="I96" s="15"/>
      <c r="J96" s="33">
        <f>IF(H$12=0,0,H96/H$12)</f>
        <v>-0.58067534667931719</v>
      </c>
      <c r="K96" s="16"/>
      <c r="L96" s="30">
        <f>+D96-H96</f>
        <v>13340.461335057695</v>
      </c>
      <c r="M96" s="16"/>
      <c r="N96" s="33">
        <f>IF(H96=0,0,L96/H96)</f>
        <v>-0.79765449060653315</v>
      </c>
      <c r="O96" s="27"/>
      <c r="P96" s="30">
        <f>SUM(P93:P95)</f>
        <v>-119652.79000000012</v>
      </c>
      <c r="Q96" s="15"/>
      <c r="R96" s="33">
        <f>IF(P$12=0,0,P96/P$12)</f>
        <v>-0.41581899836699759</v>
      </c>
      <c r="S96" s="15"/>
      <c r="T96" s="30">
        <f>SUM(T93:T95)</f>
        <v>-181909.75373994233</v>
      </c>
      <c r="U96" s="15"/>
      <c r="V96" s="33">
        <f>IF(T$12=0,0,T96/T$12)</f>
        <v>-0.51927628852955443</v>
      </c>
      <c r="W96" s="16"/>
      <c r="X96" s="30">
        <f>+P96-T96</f>
        <v>62256.963739942206</v>
      </c>
      <c r="Y96" s="16"/>
      <c r="Z96" s="33">
        <f>IF(T96=0,0,X96/T96)</f>
        <v>-0.34224093244029447</v>
      </c>
    </row>
    <row r="97" spans="1:24" ht="15" customHeight="1" x14ac:dyDescent="0.25">
      <c r="A97" s="10"/>
      <c r="C97" s="10"/>
      <c r="D97" s="18"/>
      <c r="E97" s="18"/>
      <c r="G97" s="18"/>
      <c r="H97" s="18"/>
      <c r="I97" s="18"/>
      <c r="J97" s="40"/>
      <c r="K97" s="18"/>
      <c r="L97" s="18"/>
      <c r="M97" s="18"/>
      <c r="P97" s="18"/>
      <c r="Q97" s="18"/>
      <c r="R97" s="40"/>
      <c r="S97" s="18"/>
      <c r="T97" s="18"/>
      <c r="U97" s="18"/>
      <c r="V97" s="40"/>
      <c r="W97" s="18"/>
      <c r="X97" s="18"/>
    </row>
    <row r="98" spans="1:24" ht="15" customHeight="1" x14ac:dyDescent="0.25">
      <c r="A98" s="10"/>
      <c r="B98" s="54">
        <v>44727.874527581022</v>
      </c>
      <c r="D98" s="18"/>
      <c r="E98" s="18"/>
      <c r="G98" s="18"/>
      <c r="H98" s="18"/>
      <c r="I98" s="18"/>
      <c r="J98" s="40"/>
      <c r="K98" s="18"/>
      <c r="L98" s="18"/>
      <c r="M98" s="18"/>
      <c r="P98" s="18"/>
      <c r="Q98" s="18"/>
      <c r="R98" s="40"/>
      <c r="S98" s="18"/>
      <c r="T98" s="18"/>
      <c r="U98" s="18"/>
      <c r="V98" s="40"/>
      <c r="W98" s="18"/>
      <c r="X98" s="18"/>
    </row>
    <row r="99" spans="1:24" ht="15" customHeight="1" x14ac:dyDescent="0.25">
      <c r="A99" s="10"/>
      <c r="B99" s="50" t="s">
        <v>298</v>
      </c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  <row r="100" spans="1:24" ht="15" customHeight="1" x14ac:dyDescent="0.25">
      <c r="A100" s="10"/>
      <c r="B100" s="58"/>
      <c r="D100" s="18"/>
      <c r="E100" s="18"/>
      <c r="G100" s="18"/>
      <c r="H100" s="18"/>
      <c r="I100" s="18"/>
      <c r="J100" s="40"/>
      <c r="K100" s="18"/>
      <c r="L100" s="18"/>
      <c r="M100" s="18"/>
      <c r="P100" s="18"/>
      <c r="Q100" s="18"/>
      <c r="R100" s="40"/>
      <c r="S100" s="18"/>
      <c r="T100" s="18"/>
      <c r="U100" s="18"/>
      <c r="V100" s="40"/>
      <c r="W100" s="18"/>
      <c r="X100" s="18"/>
    </row>
    <row r="101" spans="1:24" ht="15" customHeight="1" x14ac:dyDescent="0.25"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9A63FF-B517-1B4D-6609-9B1C75B54D3E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","327"," - ","C-Store Vending Machine(s)")</f>
        <v>Department 327 - C-Store Vending Machine(s)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275.74</v>
      </c>
      <c r="E12" s="5"/>
      <c r="F12" s="13"/>
      <c r="G12" s="5"/>
      <c r="H12" s="5">
        <f>SUM(OSRRefH13x_0)</f>
        <v>200</v>
      </c>
      <c r="I12" s="5"/>
      <c r="J12" s="13"/>
      <c r="K12" s="5"/>
      <c r="L12" s="5">
        <f>+D12-H12</f>
        <v>75.740000000000009</v>
      </c>
      <c r="M12" s="5"/>
      <c r="N12" s="13">
        <f>IF(H12=0,0,L12/H12)</f>
        <v>0.37870000000000004</v>
      </c>
      <c r="O12" s="11"/>
      <c r="P12" s="5">
        <f>SUM(OSRRefP13x_0)</f>
        <v>1827.05</v>
      </c>
      <c r="Q12" s="5"/>
      <c r="R12" s="13"/>
      <c r="S12" s="5"/>
      <c r="T12" s="5">
        <f>SUM(OSRRefT13x_0)</f>
        <v>875</v>
      </c>
      <c r="U12" s="5"/>
      <c r="V12" s="13"/>
      <c r="W12" s="5"/>
      <c r="X12" s="5">
        <f>+P12-T12</f>
        <v>952.05</v>
      </c>
      <c r="Y12" s="5"/>
      <c r="Z12" s="13">
        <f>IF(T12=0,0,X12/T12)</f>
        <v>1.0880571428571428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200</v>
      </c>
      <c r="I13" s="3"/>
      <c r="J13" s="20"/>
      <c r="K13" s="3"/>
      <c r="L13" s="3">
        <f>+D13-H13</f>
        <v>-200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875</v>
      </c>
      <c r="U13" s="3"/>
      <c r="V13" s="20"/>
      <c r="W13" s="3"/>
      <c r="X13" s="3">
        <f>+P13-T13</f>
        <v>-875</v>
      </c>
      <c r="Y13" s="3"/>
      <c r="Z13" s="20">
        <f>IF(T13=0,0,X13/T13)</f>
        <v>-1</v>
      </c>
    </row>
    <row r="14" spans="1:26" s="70" customFormat="1" ht="15" hidden="1" customHeight="1" outlineLevel="1" x14ac:dyDescent="0.25">
      <c r="A14" s="42"/>
      <c r="B14" s="12" t="str">
        <f>CONCATENATE("          ","4053"," - ","TAXABLE SALES-FOOD")</f>
        <v xml:space="preserve">          4053 - TAXABLE SALES-FOOD</v>
      </c>
      <c r="C14" s="12"/>
      <c r="D14" s="3">
        <f>--275.74</f>
        <v>275.74</v>
      </c>
      <c r="E14" s="3"/>
      <c r="F14" s="20"/>
      <c r="G14" s="3"/>
      <c r="H14" s="3"/>
      <c r="I14" s="3"/>
      <c r="J14" s="20"/>
      <c r="K14" s="3"/>
      <c r="L14" s="3">
        <f>+D14-H14</f>
        <v>275.74</v>
      </c>
      <c r="M14" s="3"/>
      <c r="N14" s="20">
        <f>IF(H14=0,0,L14/H14)</f>
        <v>0</v>
      </c>
      <c r="O14" s="12"/>
      <c r="P14" s="3">
        <f>--1827.05</f>
        <v>1827.05</v>
      </c>
      <c r="Q14" s="3"/>
      <c r="R14" s="20"/>
      <c r="S14" s="3"/>
      <c r="T14" s="3"/>
      <c r="U14" s="3"/>
      <c r="V14" s="20"/>
      <c r="W14" s="3"/>
      <c r="X14" s="3">
        <f>+P14-T14</f>
        <v>1827.05</v>
      </c>
      <c r="Y14" s="3"/>
      <c r="Z14" s="20">
        <f>IF(T14=0,0,X14/T14)</f>
        <v>0</v>
      </c>
    </row>
    <row r="15" spans="1:26" s="70" customFormat="1" ht="15" hidden="1" customHeight="1" outlineLevel="1" x14ac:dyDescent="0.25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25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collapsed="1" x14ac:dyDescent="0.25">
      <c r="A17" s="11"/>
      <c r="B17" s="27" t="s">
        <v>288</v>
      </c>
      <c r="C17" s="11"/>
      <c r="D17" s="5">
        <f>SUM(OSRRefD16x_0)</f>
        <v>147</v>
      </c>
      <c r="E17" s="5"/>
      <c r="F17" s="13">
        <f>IF(D$12=0,0,D17/D$12)</f>
        <v>0.53311090157394647</v>
      </c>
      <c r="G17" s="5"/>
      <c r="H17" s="5">
        <f>SUM(OSRRefH16x_0)</f>
        <v>100</v>
      </c>
      <c r="I17" s="5"/>
      <c r="J17" s="13">
        <f>IF(H$12=0,0,H17/H$12)</f>
        <v>0.5</v>
      </c>
      <c r="K17" s="5"/>
      <c r="L17" s="5">
        <f>+D17-H17</f>
        <v>47</v>
      </c>
      <c r="M17" s="5"/>
      <c r="N17" s="13">
        <f>IF(H17=0,0,L17/H17)</f>
        <v>0.47</v>
      </c>
      <c r="O17" s="11"/>
      <c r="P17" s="5">
        <f>SUM(OSRRefP16x_0)</f>
        <v>179.2</v>
      </c>
      <c r="Q17" s="5"/>
      <c r="R17" s="13">
        <f>IF(P$12=0,0,P17/P$12)</f>
        <v>9.8081606962042628E-2</v>
      </c>
      <c r="S17" s="5"/>
      <c r="T17" s="5">
        <f>SUM(OSRRefT16x_0)</f>
        <v>439</v>
      </c>
      <c r="U17" s="5"/>
      <c r="V17" s="13">
        <f>IF(T$12=0,0,T17/T$12)</f>
        <v>0.50171428571428567</v>
      </c>
      <c r="W17" s="5"/>
      <c r="X17" s="5">
        <f>+P17-T17</f>
        <v>-259.8</v>
      </c>
      <c r="Y17" s="5"/>
      <c r="Z17" s="13">
        <f>IF(T17=0,0,X17/T17)</f>
        <v>-0.5917995444191344</v>
      </c>
    </row>
    <row r="18" spans="1:26" s="70" customFormat="1" ht="15" hidden="1" customHeight="1" outlineLevel="1" x14ac:dyDescent="0.25">
      <c r="A18" s="42"/>
      <c r="B18" s="12" t="str">
        <f>CONCATENATE("          ","5000"," - ","PURCHASES @ COST")</f>
        <v xml:space="preserve">          5000 - PURCHASES @ COST</v>
      </c>
      <c r="C18" s="12"/>
      <c r="D18" s="3"/>
      <c r="E18" s="3"/>
      <c r="F18" s="20">
        <f>IF(D$12=0,0,D18/D$12)</f>
        <v>0</v>
      </c>
      <c r="G18" s="3"/>
      <c r="H18" s="3">
        <v>100</v>
      </c>
      <c r="I18" s="3"/>
      <c r="J18" s="20">
        <f>IF(H$12=0,0,H18/H$12)</f>
        <v>0.5</v>
      </c>
      <c r="K18" s="3"/>
      <c r="L18" s="3">
        <f>+D18-H18</f>
        <v>-100</v>
      </c>
      <c r="M18" s="3"/>
      <c r="N18" s="20">
        <f>IF(H18=0,0,L18/H18)</f>
        <v>-1</v>
      </c>
      <c r="O18" s="12"/>
      <c r="P18" s="3"/>
      <c r="Q18" s="3"/>
      <c r="R18" s="20">
        <f>IF(P$12=0,0,P18/P$12)</f>
        <v>0</v>
      </c>
      <c r="S18" s="3"/>
      <c r="T18" s="3">
        <v>439</v>
      </c>
      <c r="U18" s="3"/>
      <c r="V18" s="20">
        <f>IF(T$12=0,0,T18/T$12)</f>
        <v>0.50171428571428567</v>
      </c>
      <c r="W18" s="3"/>
      <c r="X18" s="3">
        <f>+P18-T18</f>
        <v>-439</v>
      </c>
      <c r="Y18" s="3"/>
      <c r="Z18" s="20">
        <f>IF(T18=0,0,X18/T18)</f>
        <v>-1</v>
      </c>
    </row>
    <row r="19" spans="1:26" s="70" customFormat="1" ht="15" hidden="1" customHeight="1" outlineLevel="1" x14ac:dyDescent="0.25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45</v>
      </c>
      <c r="Q19" s="3"/>
      <c r="R19" s="20">
        <f>IF(P$12=0,0,P19/P$12)</f>
        <v>2.462986781970937E-2</v>
      </c>
      <c r="S19" s="3"/>
      <c r="T19" s="3"/>
      <c r="U19" s="3"/>
      <c r="V19" s="20">
        <f>IF(T$12=0,0,T19/T$12)</f>
        <v>0</v>
      </c>
      <c r="W19" s="3"/>
      <c r="X19" s="3">
        <f>+P19-T19</f>
        <v>45</v>
      </c>
      <c r="Y19" s="3"/>
      <c r="Z19" s="20">
        <f>IF(T19=0,0,X19/T19)</f>
        <v>0</v>
      </c>
    </row>
    <row r="20" spans="1:26" s="70" customFormat="1" ht="15" hidden="1" customHeight="1" outlineLevel="1" x14ac:dyDescent="0.25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147</v>
      </c>
      <c r="E20" s="3"/>
      <c r="F20" s="20">
        <f>IF(D$12=0,0,D20/D$12)</f>
        <v>0.53311090157394647</v>
      </c>
      <c r="G20" s="3"/>
      <c r="H20" s="3"/>
      <c r="I20" s="3"/>
      <c r="J20" s="20">
        <f>IF(H$12=0,0,H20/H$12)</f>
        <v>0</v>
      </c>
      <c r="K20" s="3"/>
      <c r="L20" s="3">
        <f>+D20-H20</f>
        <v>147</v>
      </c>
      <c r="M20" s="3"/>
      <c r="N20" s="20">
        <f>IF(H20=0,0,L20/H20)</f>
        <v>0</v>
      </c>
      <c r="O20" s="12"/>
      <c r="P20" s="3">
        <v>134.19999999999999</v>
      </c>
      <c r="Q20" s="3"/>
      <c r="R20" s="20">
        <f>IF(P$12=0,0,P20/P$12)</f>
        <v>7.3451739142333258E-2</v>
      </c>
      <c r="S20" s="3"/>
      <c r="T20" s="3"/>
      <c r="U20" s="3"/>
      <c r="V20" s="20">
        <f>IF(T$12=0,0,T20/T$12)</f>
        <v>0</v>
      </c>
      <c r="W20" s="3"/>
      <c r="X20" s="3">
        <f>+P20-T20</f>
        <v>134.19999999999999</v>
      </c>
      <c r="Y20" s="3"/>
      <c r="Z20" s="20">
        <f>IF(T20=0,0,X20/T20)</f>
        <v>0</v>
      </c>
    </row>
    <row r="21" spans="1:26" ht="15" customHeight="1" x14ac:dyDescent="0.25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25">
      <c r="A22" s="11"/>
      <c r="B22" s="28" t="s">
        <v>289</v>
      </c>
      <c r="C22" s="28"/>
      <c r="D22" s="22">
        <f>D12-D17</f>
        <v>128.74</v>
      </c>
      <c r="E22" s="15"/>
      <c r="F22" s="21">
        <f>IF(D$12=0,0,D22/D$12)</f>
        <v>0.46688909842605353</v>
      </c>
      <c r="G22" s="15"/>
      <c r="H22" s="22">
        <f>H12-H17</f>
        <v>100</v>
      </c>
      <c r="I22" s="15"/>
      <c r="J22" s="21">
        <f>IF(H$12=0,0,H22/H$12)</f>
        <v>0.5</v>
      </c>
      <c r="K22" s="16"/>
      <c r="L22" s="22">
        <f>+D22-H22</f>
        <v>28.740000000000009</v>
      </c>
      <c r="M22" s="16"/>
      <c r="N22" s="21">
        <f>IF(H22=0,0,L22/H22)</f>
        <v>0.2874000000000001</v>
      </c>
      <c r="O22" s="27"/>
      <c r="P22" s="22">
        <f>P12-P17</f>
        <v>1647.85</v>
      </c>
      <c r="Q22" s="15"/>
      <c r="R22" s="21">
        <f>IF(P$12=0,0,P22/P$12)</f>
        <v>0.90191839303795729</v>
      </c>
      <c r="S22" s="15"/>
      <c r="T22" s="22">
        <f>T12-T17</f>
        <v>436</v>
      </c>
      <c r="U22" s="15"/>
      <c r="V22" s="21">
        <f>IF(T$12=0,0,T22/T$12)</f>
        <v>0.49828571428571428</v>
      </c>
      <c r="W22" s="16"/>
      <c r="X22" s="22">
        <f>+P22-T22</f>
        <v>1211.8499999999999</v>
      </c>
      <c r="Y22" s="16"/>
      <c r="Z22" s="21">
        <f>IF(T22=0,0,X22/T22)</f>
        <v>2.7794724770642198</v>
      </c>
    </row>
    <row r="23" spans="1:26" ht="15" customHeight="1" x14ac:dyDescent="0.25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25">
      <c r="A24" s="11"/>
      <c r="B24" s="27" t="s">
        <v>290</v>
      </c>
      <c r="C24" s="11"/>
      <c r="D24" s="23" cm="1">
        <f t="array" ref="D24">SUM(OSRRefD22x_0)</f>
        <v>87.42</v>
      </c>
      <c r="E24" s="23"/>
      <c r="F24" s="31">
        <f>IF(D$12=0,0,D24/D$12)</f>
        <v>0.31703778922173059</v>
      </c>
      <c r="G24" s="23"/>
      <c r="H24" s="23" cm="1">
        <f t="array" ref="H24">SUM(OSRRefH22x_0)</f>
        <v>18</v>
      </c>
      <c r="I24" s="23"/>
      <c r="J24" s="31">
        <f>IF(H$12=0,0,H24/H$12)</f>
        <v>0.09</v>
      </c>
      <c r="K24" s="5"/>
      <c r="L24" s="23">
        <f>+D24-H24</f>
        <v>69.42</v>
      </c>
      <c r="M24" s="5"/>
      <c r="N24" s="31">
        <f>IF(H24=0,0,L24/H24)</f>
        <v>3.8566666666666669</v>
      </c>
      <c r="O24" s="11"/>
      <c r="P24" s="23" cm="1">
        <f t="array" ref="P24">SUM(OSRRefP22x_0)</f>
        <v>1506.08</v>
      </c>
      <c r="Q24" s="23"/>
      <c r="R24" s="31">
        <f>IF(P$12=0,0,P24/P$12)</f>
        <v>0.82432336279795293</v>
      </c>
      <c r="S24" s="23"/>
      <c r="T24" s="23" cm="1">
        <f t="array" ref="T24">SUM(OSRRefT22x_0)</f>
        <v>78.75</v>
      </c>
      <c r="U24" s="23"/>
      <c r="V24" s="31">
        <f>IF(T$12=0,0,T24/T$12)</f>
        <v>0.09</v>
      </c>
      <c r="W24" s="5"/>
      <c r="X24" s="23">
        <f>+P24-T24</f>
        <v>1427.33</v>
      </c>
      <c r="Y24" s="5"/>
      <c r="Z24" s="31">
        <f>IF(T24=0,0,X24/T24)</f>
        <v>18.124825396825397</v>
      </c>
    </row>
    <row r="25" spans="1:26" s="69" customFormat="1" ht="15" customHeight="1" outlineLevel="1" collapsed="1" x14ac:dyDescent="0.25">
      <c r="A25" s="26"/>
      <c r="B25" s="14" t="str">
        <f>CONCATENATE("     ","Bank/card Fees                                    ")</f>
        <v xml:space="preserve">     Bank/card Fees                                    </v>
      </c>
      <c r="C25" s="14"/>
      <c r="D25" s="2">
        <f>SUM(OSRRefD22_0x_0)</f>
        <v>87.42</v>
      </c>
      <c r="E25" s="2"/>
      <c r="F25" s="6">
        <f>IF(D$12=0,0,D25/D$12)</f>
        <v>0.31703778922173059</v>
      </c>
      <c r="G25" s="2"/>
      <c r="H25" s="2">
        <f>SUM(OSRRefH22_0x_0)</f>
        <v>18</v>
      </c>
      <c r="I25" s="2"/>
      <c r="J25" s="6">
        <f>IF(H$12=0,0,H25/H$12)</f>
        <v>0.09</v>
      </c>
      <c r="K25" s="2"/>
      <c r="L25" s="2">
        <f>+D25-H25</f>
        <v>69.42</v>
      </c>
      <c r="M25" s="2"/>
      <c r="N25" s="6">
        <f>IF(H25=0,0,L25/H25)</f>
        <v>3.8566666666666669</v>
      </c>
      <c r="O25" s="14"/>
      <c r="P25" s="2">
        <f>SUM(OSRRefP22_0x_0)</f>
        <v>747.2</v>
      </c>
      <c r="Q25" s="2"/>
      <c r="R25" s="6">
        <f>IF(P$12=0,0,P25/P$12)</f>
        <v>0.40896527188637427</v>
      </c>
      <c r="S25" s="2"/>
      <c r="T25" s="2">
        <f>SUM(OSRRefT22_0x_0)</f>
        <v>78.75</v>
      </c>
      <c r="U25" s="2"/>
      <c r="V25" s="6">
        <f>IF(T$12=0,0,T25/T$12)</f>
        <v>0.09</v>
      </c>
      <c r="W25" s="2"/>
      <c r="X25" s="2">
        <f>+P25-T25</f>
        <v>668.45</v>
      </c>
      <c r="Y25" s="2"/>
      <c r="Z25" s="6">
        <f>IF(T25=0,0,X25/T25)</f>
        <v>8.4882539682539697</v>
      </c>
    </row>
    <row r="26" spans="1:26" s="70" customFormat="1" ht="15" hidden="1" customHeight="1" outlineLevel="2" x14ac:dyDescent="0.25">
      <c r="A26" s="25"/>
      <c r="B26" s="12" t="str">
        <f>CONCATENATE("          ","6381"," - ","BANK/CREDIT CARD FEES")</f>
        <v xml:space="preserve">          6381 - BANK/CREDIT CARD FEES</v>
      </c>
      <c r="C26" s="12"/>
      <c r="D26" s="8">
        <v>87.42</v>
      </c>
      <c r="E26" s="3"/>
      <c r="F26" s="7">
        <f>IF(D$12=0,0,D26/D$12)</f>
        <v>0.31703778922173059</v>
      </c>
      <c r="G26" s="3"/>
      <c r="H26" s="8">
        <v>18</v>
      </c>
      <c r="I26" s="3"/>
      <c r="J26" s="7">
        <f>IF(H$12=0,0,H26/H$12)</f>
        <v>0.09</v>
      </c>
      <c r="K26" s="3"/>
      <c r="L26" s="8">
        <f>+D26-H26</f>
        <v>69.42</v>
      </c>
      <c r="M26" s="3"/>
      <c r="N26" s="7">
        <f>IF(H26=0,0,L26/H26)</f>
        <v>3.8566666666666669</v>
      </c>
      <c r="O26" s="12"/>
      <c r="P26" s="8">
        <v>747.2</v>
      </c>
      <c r="Q26" s="3"/>
      <c r="R26" s="7">
        <f>IF(P$12=0,0,P26/P$12)</f>
        <v>0.40896527188637427</v>
      </c>
      <c r="S26" s="3"/>
      <c r="T26" s="8">
        <v>78.75</v>
      </c>
      <c r="U26" s="3"/>
      <c r="V26" s="7">
        <f>IF(T$12=0,0,T26/T$12)</f>
        <v>0.09</v>
      </c>
      <c r="W26" s="3"/>
      <c r="X26" s="8">
        <f>+P26-T26</f>
        <v>668.45</v>
      </c>
      <c r="Y26" s="3"/>
      <c r="Z26" s="7">
        <f>IF(T26=0,0,X26/T26)</f>
        <v>8.4882539682539697</v>
      </c>
    </row>
    <row r="27" spans="1:26" s="69" customFormat="1" ht="15" customHeight="1" outlineLevel="1" collapsed="1" x14ac:dyDescent="0.25">
      <c r="A27" s="26"/>
      <c r="B27" s="14" t="str">
        <f>CONCATENATE("     ","General                                           ")</f>
        <v xml:space="preserve">     General                                           </v>
      </c>
      <c r="C27" s="14"/>
      <c r="D27" s="2">
        <f>SUM(OSRRefD22_1x_0)</f>
        <v>0</v>
      </c>
      <c r="E27" s="2"/>
      <c r="F27" s="6">
        <f>IF(D$12=0,0,D27/D$12)</f>
        <v>0</v>
      </c>
      <c r="G27" s="2"/>
      <c r="H27" s="2">
        <f>SUM(OSRRefH22_1x_0)</f>
        <v>0</v>
      </c>
      <c r="I27" s="2"/>
      <c r="J27" s="6">
        <f>IF(H$12=0,0,H27/H$12)</f>
        <v>0</v>
      </c>
      <c r="K27" s="2"/>
      <c r="L27" s="2">
        <f>+D27-H27</f>
        <v>0</v>
      </c>
      <c r="M27" s="2"/>
      <c r="N27" s="6">
        <f>IF(H27=0,0,L27/H27)</f>
        <v>0</v>
      </c>
      <c r="O27" s="14"/>
      <c r="P27" s="2">
        <f>SUM(OSRRefP22_1x_0)</f>
        <v>758.88</v>
      </c>
      <c r="Q27" s="2"/>
      <c r="R27" s="6">
        <f>IF(P$12=0,0,P27/P$12)</f>
        <v>0.41535809091157877</v>
      </c>
      <c r="S27" s="2"/>
      <c r="T27" s="2">
        <f>SUM(OSRRefT22_1x_0)</f>
        <v>0</v>
      </c>
      <c r="U27" s="2"/>
      <c r="V27" s="6">
        <f>IF(T$12=0,0,T27/T$12)</f>
        <v>0</v>
      </c>
      <c r="W27" s="2"/>
      <c r="X27" s="2">
        <f>+P27-T27</f>
        <v>758.88</v>
      </c>
      <c r="Y27" s="2"/>
      <c r="Z27" s="6">
        <f>IF(T27=0,0,X27/T27)</f>
        <v>0</v>
      </c>
    </row>
    <row r="28" spans="1:26" s="70" customFormat="1" ht="15" hidden="1" customHeight="1" outlineLevel="2" x14ac:dyDescent="0.25">
      <c r="A28" s="25"/>
      <c r="B28" s="12" t="str">
        <f>CONCATENATE("          ","6279"," - ","GENERAL EXPENSE")</f>
        <v xml:space="preserve">          6279 - GENERAL EXPENSE</v>
      </c>
      <c r="C28" s="12"/>
      <c r="D28" s="8"/>
      <c r="E28" s="3"/>
      <c r="F28" s="7">
        <f>IF(D$12=0,0,D28/D$12)</f>
        <v>0</v>
      </c>
      <c r="G28" s="3"/>
      <c r="H28" s="8"/>
      <c r="I28" s="3"/>
      <c r="J28" s="7">
        <f>IF(H$12=0,0,H28/H$12)</f>
        <v>0</v>
      </c>
      <c r="K28" s="3"/>
      <c r="L28" s="8">
        <f>+D28-H28</f>
        <v>0</v>
      </c>
      <c r="M28" s="3"/>
      <c r="N28" s="7">
        <f>IF(H28=0,0,L28/H28)</f>
        <v>0</v>
      </c>
      <c r="O28" s="12"/>
      <c r="P28" s="8">
        <v>758.88</v>
      </c>
      <c r="Q28" s="3"/>
      <c r="R28" s="7">
        <f>IF(P$12=0,0,P28/P$12)</f>
        <v>0.41535809091157877</v>
      </c>
      <c r="S28" s="3"/>
      <c r="T28" s="8"/>
      <c r="U28" s="3"/>
      <c r="V28" s="7">
        <f>IF(T$12=0,0,T28/T$12)</f>
        <v>0</v>
      </c>
      <c r="W28" s="3"/>
      <c r="X28" s="8">
        <f>+P28-T28</f>
        <v>758.88</v>
      </c>
      <c r="Y28" s="3"/>
      <c r="Z28" s="7">
        <f>IF(T28=0,0,X28/T28)</f>
        <v>0</v>
      </c>
    </row>
    <row r="29" spans="1:26" s="65" customFormat="1" ht="15" customHeight="1" x14ac:dyDescent="0.25">
      <c r="A29" s="35"/>
      <c r="B29" s="35"/>
      <c r="C29" s="35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5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3" customFormat="1" ht="15" customHeight="1" x14ac:dyDescent="0.25">
      <c r="A30" s="11"/>
      <c r="B30" s="27" t="s">
        <v>291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25">
      <c r="A32" s="11"/>
      <c r="B32" s="28" t="s">
        <v>292</v>
      </c>
      <c r="C32" s="28"/>
      <c r="D32" s="22">
        <f>+D22-D24+D30</f>
        <v>41.320000000000007</v>
      </c>
      <c r="E32" s="15"/>
      <c r="F32" s="21">
        <f>IF(D$12=0,0,D32/D$12)</f>
        <v>0.14985130920432294</v>
      </c>
      <c r="G32" s="15"/>
      <c r="H32" s="22">
        <f>+H22-H24+H30</f>
        <v>82</v>
      </c>
      <c r="I32" s="15"/>
      <c r="J32" s="21">
        <f>IF(H$12=0,0,H32/H$12)</f>
        <v>0.41</v>
      </c>
      <c r="K32" s="16"/>
      <c r="L32" s="22">
        <f>+D32-H32</f>
        <v>-40.679999999999993</v>
      </c>
      <c r="M32" s="16"/>
      <c r="N32" s="21">
        <f>IF(H32=0,0,L32/H32)</f>
        <v>-0.49609756097560964</v>
      </c>
      <c r="O32" s="27"/>
      <c r="P32" s="22">
        <f>+P22-P24+P30</f>
        <v>141.76999999999998</v>
      </c>
      <c r="Q32" s="15"/>
      <c r="R32" s="21">
        <f>IF(P$12=0,0,P32/P$12)</f>
        <v>7.7595030240004373E-2</v>
      </c>
      <c r="S32" s="15"/>
      <c r="T32" s="22">
        <f>+T22-T24+T30</f>
        <v>357.25</v>
      </c>
      <c r="U32" s="15"/>
      <c r="V32" s="21">
        <f>IF(T$12=0,0,T32/T$12)</f>
        <v>0.40828571428571431</v>
      </c>
      <c r="W32" s="16"/>
      <c r="X32" s="22">
        <f>+P32-T32</f>
        <v>-215.48000000000002</v>
      </c>
      <c r="Y32" s="16"/>
      <c r="Z32" s="21">
        <f>IF(T32=0,0,X32/T32)</f>
        <v>-0.60316305108467461</v>
      </c>
    </row>
    <row r="33" spans="1:26" ht="15" customHeight="1" x14ac:dyDescent="0.25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25">
      <c r="A34" s="49"/>
      <c r="B34" s="11" t="s">
        <v>293</v>
      </c>
      <c r="C34" s="11"/>
      <c r="D34" s="5">
        <v>29.67</v>
      </c>
      <c r="E34" s="5"/>
      <c r="F34" s="13">
        <f>IF(D$12=0,0,D34/D$12)</f>
        <v>0.10760136360339451</v>
      </c>
      <c r="G34" s="5"/>
      <c r="H34" s="5">
        <v>25</v>
      </c>
      <c r="I34" s="5"/>
      <c r="J34" s="13">
        <f>IF(H$12=0,0,H34/H$12)</f>
        <v>0.125</v>
      </c>
      <c r="K34" s="5"/>
      <c r="L34" s="5">
        <f>+D34-H34</f>
        <v>4.6700000000000017</v>
      </c>
      <c r="M34" s="5"/>
      <c r="N34" s="13">
        <f>IF(H34=0,0,L34/H34)</f>
        <v>0.18680000000000008</v>
      </c>
      <c r="O34" s="11"/>
      <c r="P34" s="5">
        <v>205.41</v>
      </c>
      <c r="Q34" s="5"/>
      <c r="R34" s="13">
        <f>IF(P$12=0,0,P34/P$12)</f>
        <v>0.11242713664103336</v>
      </c>
      <c r="S34" s="5"/>
      <c r="T34" s="5">
        <v>108</v>
      </c>
      <c r="U34" s="5"/>
      <c r="V34" s="13">
        <f>IF(T$12=0,0,T34/T$12)</f>
        <v>0.12342857142857143</v>
      </c>
      <c r="W34" s="5"/>
      <c r="X34" s="5">
        <f>+P34-T34</f>
        <v>97.41</v>
      </c>
      <c r="Y34" s="5"/>
      <c r="Z34" s="13">
        <f>IF(T34=0,0,X34/T34)</f>
        <v>0.90194444444444444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294</v>
      </c>
      <c r="C36" s="28"/>
      <c r="D36" s="34">
        <f>+D32-D34</f>
        <v>11.650000000000006</v>
      </c>
      <c r="E36" s="15"/>
      <c r="F36" s="32">
        <f>IF(D$12=0,0,D36/D$12)</f>
        <v>4.2249945600928429E-2</v>
      </c>
      <c r="G36" s="15"/>
      <c r="H36" s="34">
        <f>+H32-H34</f>
        <v>57</v>
      </c>
      <c r="I36" s="15"/>
      <c r="J36" s="32">
        <f>IF(H$12=0,0,H36/H$12)</f>
        <v>0.28499999999999998</v>
      </c>
      <c r="K36" s="16"/>
      <c r="L36" s="34">
        <f>D36-H36</f>
        <v>-45.349999999999994</v>
      </c>
      <c r="M36" s="16"/>
      <c r="N36" s="32">
        <f>IF(H36=0,0,L36/H36)</f>
        <v>-0.79561403508771922</v>
      </c>
      <c r="O36" s="27"/>
      <c r="P36" s="34">
        <f>+P32-P34</f>
        <v>-63.640000000000015</v>
      </c>
      <c r="Q36" s="15"/>
      <c r="R36" s="32">
        <f>IF(P$12=0,0,P36/P$12)</f>
        <v>-3.4832106401028989E-2</v>
      </c>
      <c r="S36" s="15"/>
      <c r="T36" s="34">
        <f>+T32-T34</f>
        <v>249.25</v>
      </c>
      <c r="U36" s="15"/>
      <c r="V36" s="32">
        <f>IF(T$12=0,0,T36/T$12)</f>
        <v>0.28485714285714286</v>
      </c>
      <c r="W36" s="16"/>
      <c r="X36" s="34">
        <f>P36-T36</f>
        <v>-312.89</v>
      </c>
      <c r="Y36" s="16"/>
      <c r="Z36" s="32">
        <f>IF(T36=0,0,X36/T36)</f>
        <v>-1.2553259779338013</v>
      </c>
    </row>
    <row r="37" spans="1:26" ht="15" customHeight="1" x14ac:dyDescent="0.25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25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3" customFormat="1" ht="15" customHeight="1" x14ac:dyDescent="0.25">
      <c r="A39" s="11"/>
      <c r="B39" s="28" t="s">
        <v>297</v>
      </c>
      <c r="C39" s="28"/>
      <c r="D39" s="30">
        <f>SUM(D36:D38)</f>
        <v>11.650000000000006</v>
      </c>
      <c r="E39" s="15"/>
      <c r="F39" s="33">
        <f>IF(D$12=0,0,D39/D$12)</f>
        <v>4.2249945600928429E-2</v>
      </c>
      <c r="G39" s="15"/>
      <c r="H39" s="30">
        <f>SUM(H36:H38)</f>
        <v>57</v>
      </c>
      <c r="I39" s="15"/>
      <c r="J39" s="33">
        <f>IF(H$12=0,0,H39/H$12)</f>
        <v>0.28499999999999998</v>
      </c>
      <c r="K39" s="16"/>
      <c r="L39" s="30">
        <f>+D39-H39</f>
        <v>-45.349999999999994</v>
      </c>
      <c r="M39" s="16"/>
      <c r="N39" s="33">
        <f>IF(H39=0,0,L39/H39)</f>
        <v>-0.79561403508771922</v>
      </c>
      <c r="O39" s="27"/>
      <c r="P39" s="30">
        <f>SUM(P36:P38)</f>
        <v>-63.640000000000015</v>
      </c>
      <c r="Q39" s="15"/>
      <c r="R39" s="33">
        <f>IF(P$12=0,0,P39/P$12)</f>
        <v>-3.4832106401028989E-2</v>
      </c>
      <c r="S39" s="15"/>
      <c r="T39" s="30">
        <f>SUM(T36:T38)</f>
        <v>249.25</v>
      </c>
      <c r="U39" s="15"/>
      <c r="V39" s="33">
        <f>IF(T$12=0,0,T39/T$12)</f>
        <v>0.28485714285714286</v>
      </c>
      <c r="W39" s="16"/>
      <c r="X39" s="30">
        <f>+P39-T39</f>
        <v>-312.89</v>
      </c>
      <c r="Y39" s="16"/>
      <c r="Z39" s="33">
        <f>IF(T39=0,0,X39/T39)</f>
        <v>-1.2553259779338013</v>
      </c>
    </row>
    <row r="40" spans="1:26" ht="15" customHeight="1" x14ac:dyDescent="0.25">
      <c r="A40" s="10"/>
      <c r="C40" s="10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A41" s="10"/>
      <c r="B41" s="54">
        <v>44727.874527581022</v>
      </c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25">
      <c r="A42" s="10"/>
      <c r="B42" s="50" t="s">
        <v>298</v>
      </c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  <row r="43" spans="1:26" ht="15" customHeight="1" x14ac:dyDescent="0.25">
      <c r="A43" s="10"/>
      <c r="B43" s="58"/>
      <c r="D43" s="18"/>
      <c r="E43" s="18"/>
      <c r="G43" s="18"/>
      <c r="H43" s="18"/>
      <c r="I43" s="18"/>
      <c r="J43" s="40"/>
      <c r="K43" s="18"/>
      <c r="L43" s="18"/>
      <c r="M43" s="18"/>
      <c r="P43" s="18"/>
      <c r="Q43" s="18"/>
      <c r="R43" s="40"/>
      <c r="S43" s="18"/>
      <c r="T43" s="18"/>
      <c r="U43" s="18"/>
      <c r="V43" s="40"/>
      <c r="W43" s="18"/>
      <c r="X43" s="18"/>
    </row>
    <row r="44" spans="1:26" ht="15" customHeight="1" x14ac:dyDescent="0.25"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ED63D-AEBB-AB43-48A2-50E81AF4B7EB}">
  <sheetPr>
    <tabColor rgb="FFFFC000"/>
    <outlinePr summaryBelow="0" summaryRight="0"/>
  </sheetPr>
  <dimension ref="A2:Z13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310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808443.53</v>
      </c>
      <c r="E12" s="5"/>
      <c r="F12" s="13"/>
      <c r="G12" s="5"/>
      <c r="H12" s="5">
        <f>SUM(OSRRefH13x_0)</f>
        <v>850716</v>
      </c>
      <c r="I12" s="5"/>
      <c r="J12" s="13"/>
      <c r="K12" s="5"/>
      <c r="L12" s="5">
        <f t="shared" ref="L12:L20" si="0">+D12-H12</f>
        <v>-42272.469999999972</v>
      </c>
      <c r="M12" s="5"/>
      <c r="N12" s="13">
        <f t="shared" ref="N12:N20" si="1">IF(H12=0,0,L12/H12)</f>
        <v>-4.969046074130494E-2</v>
      </c>
      <c r="O12" s="11"/>
      <c r="P12" s="5">
        <f>SUM(OSRRefP13x_0)</f>
        <v>13125023.430000002</v>
      </c>
      <c r="Q12" s="5"/>
      <c r="R12" s="13"/>
      <c r="S12" s="5"/>
      <c r="T12" s="5">
        <f>SUM(OSRRefT13x_0)</f>
        <v>10922500</v>
      </c>
      <c r="U12" s="5"/>
      <c r="V12" s="13"/>
      <c r="W12" s="5"/>
      <c r="X12" s="5">
        <f t="shared" ref="X12:X20" si="2">+P12-T12</f>
        <v>2202523.4300000016</v>
      </c>
      <c r="Y12" s="5"/>
      <c r="Z12" s="13">
        <f t="shared" ref="Z12:Z20" si="3">IF(T12=0,0,X12/T12)</f>
        <v>0.2016501194781416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107544</v>
      </c>
      <c r="I13" s="3"/>
      <c r="J13" s="20"/>
      <c r="K13" s="3"/>
      <c r="L13" s="3">
        <f t="shared" si="0"/>
        <v>-107544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831823</v>
      </c>
      <c r="U13" s="3"/>
      <c r="V13" s="20"/>
      <c r="W13" s="3"/>
      <c r="X13" s="3">
        <f t="shared" si="2"/>
        <v>-831823</v>
      </c>
      <c r="Y13" s="3"/>
      <c r="Z13" s="20">
        <f t="shared" si="3"/>
        <v>-1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--27103.03</f>
        <v>27103.03</v>
      </c>
      <c r="E14" s="3"/>
      <c r="F14" s="20"/>
      <c r="G14" s="3"/>
      <c r="H14" s="3"/>
      <c r="I14" s="3"/>
      <c r="J14" s="20"/>
      <c r="K14" s="3"/>
      <c r="L14" s="3">
        <f t="shared" si="0"/>
        <v>27103.03</v>
      </c>
      <c r="M14" s="3"/>
      <c r="N14" s="20">
        <f t="shared" si="1"/>
        <v>0</v>
      </c>
      <c r="O14" s="12"/>
      <c r="P14" s="3">
        <f>--346011.28</f>
        <v>346011.28</v>
      </c>
      <c r="Q14" s="3"/>
      <c r="R14" s="20"/>
      <c r="S14" s="3"/>
      <c r="T14" s="3"/>
      <c r="U14" s="3"/>
      <c r="V14" s="20"/>
      <c r="W14" s="3"/>
      <c r="X14" s="3">
        <f t="shared" si="2"/>
        <v>346011.28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--789.03</f>
        <v>789.03</v>
      </c>
      <c r="E15" s="3"/>
      <c r="F15" s="20"/>
      <c r="G15" s="3"/>
      <c r="H15" s="3"/>
      <c r="I15" s="3"/>
      <c r="J15" s="20"/>
      <c r="K15" s="3"/>
      <c r="L15" s="3">
        <f t="shared" si="0"/>
        <v>789.03</v>
      </c>
      <c r="M15" s="3"/>
      <c r="N15" s="20">
        <f t="shared" si="1"/>
        <v>0</v>
      </c>
      <c r="O15" s="12"/>
      <c r="P15" s="3">
        <f>--29361.98</f>
        <v>29361.98</v>
      </c>
      <c r="Q15" s="3"/>
      <c r="R15" s="20"/>
      <c r="S15" s="3"/>
      <c r="T15" s="3"/>
      <c r="U15" s="3"/>
      <c r="V15" s="20"/>
      <c r="W15" s="3"/>
      <c r="X15" s="3">
        <f t="shared" si="2"/>
        <v>29361.98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--514.53</f>
        <v>514.53</v>
      </c>
      <c r="E16" s="3"/>
      <c r="F16" s="20"/>
      <c r="G16" s="3"/>
      <c r="H16" s="3"/>
      <c r="I16" s="3"/>
      <c r="J16" s="20"/>
      <c r="K16" s="3"/>
      <c r="L16" s="3">
        <f t="shared" si="0"/>
        <v>514.53</v>
      </c>
      <c r="M16" s="3"/>
      <c r="N16" s="20">
        <f t="shared" si="1"/>
        <v>0</v>
      </c>
      <c r="O16" s="12"/>
      <c r="P16" s="3">
        <f>--2070.63</f>
        <v>2070.63</v>
      </c>
      <c r="Q16" s="3"/>
      <c r="R16" s="20"/>
      <c r="S16" s="3"/>
      <c r="T16" s="3"/>
      <c r="U16" s="3"/>
      <c r="V16" s="20"/>
      <c r="W16" s="3"/>
      <c r="X16" s="3">
        <f t="shared" si="2"/>
        <v>2070.63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","4100"," - ","NON-TAXABLE SALES")</f>
        <v xml:space="preserve">          4100 - NON-TAXABLE SALES</v>
      </c>
      <c r="C17" s="12"/>
      <c r="D17" s="3">
        <f>0</f>
        <v>0</v>
      </c>
      <c r="E17" s="3"/>
      <c r="F17" s="20"/>
      <c r="G17" s="3"/>
      <c r="H17" s="3">
        <v>743172</v>
      </c>
      <c r="I17" s="3"/>
      <c r="J17" s="20"/>
      <c r="K17" s="3"/>
      <c r="L17" s="3">
        <f t="shared" si="0"/>
        <v>-743172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v>10090677</v>
      </c>
      <c r="U17" s="3"/>
      <c r="V17" s="20"/>
      <c r="W17" s="3"/>
      <c r="X17" s="3">
        <f t="shared" si="2"/>
        <v>-10090677</v>
      </c>
      <c r="Y17" s="3"/>
      <c r="Z17" s="20">
        <f t="shared" si="3"/>
        <v>-1</v>
      </c>
    </row>
    <row r="18" spans="1:26" s="70" customFormat="1" ht="15" hidden="1" customHeight="1" outlineLevel="1" x14ac:dyDescent="0.25">
      <c r="A18" s="42"/>
      <c r="B18" s="12" t="str">
        <f>CONCATENATE("          ","4151"," - ","NON-TAXABLE SALES-FOOD")</f>
        <v xml:space="preserve">          4151 - NON-TAXABLE SALES-FOOD</v>
      </c>
      <c r="C18" s="12"/>
      <c r="D18" s="3">
        <f>--773084.43</f>
        <v>773084.43</v>
      </c>
      <c r="E18" s="3"/>
      <c r="F18" s="20"/>
      <c r="G18" s="3"/>
      <c r="H18" s="3"/>
      <c r="I18" s="3"/>
      <c r="J18" s="20"/>
      <c r="K18" s="3"/>
      <c r="L18" s="3">
        <f t="shared" si="0"/>
        <v>773084.43</v>
      </c>
      <c r="M18" s="3"/>
      <c r="N18" s="20">
        <f t="shared" si="1"/>
        <v>0</v>
      </c>
      <c r="O18" s="12"/>
      <c r="P18" s="3">
        <f>--12624781.14</f>
        <v>12624781.140000001</v>
      </c>
      <c r="Q18" s="3"/>
      <c r="R18" s="20"/>
      <c r="S18" s="3"/>
      <c r="T18" s="3"/>
      <c r="U18" s="3"/>
      <c r="V18" s="20"/>
      <c r="W18" s="3"/>
      <c r="X18" s="3">
        <f t="shared" si="2"/>
        <v>12624781.140000001</v>
      </c>
      <c r="Y18" s="3"/>
      <c r="Z18" s="20">
        <f t="shared" si="3"/>
        <v>0</v>
      </c>
    </row>
    <row r="19" spans="1:26" s="70" customFormat="1" ht="15" hidden="1" customHeight="1" outlineLevel="1" x14ac:dyDescent="0.25">
      <c r="A19" s="42"/>
      <c r="B19" s="12" t="str">
        <f>CONCATENATE("          ","4153"," - ","NON-TAXABLE SALES-FOOD")</f>
        <v xml:space="preserve">          4153 - NON-TAXABLE SALES-FOOD</v>
      </c>
      <c r="C19" s="12"/>
      <c r="D19" s="3">
        <f>--6068.42</f>
        <v>6068.42</v>
      </c>
      <c r="E19" s="3"/>
      <c r="F19" s="20"/>
      <c r="G19" s="3"/>
      <c r="H19" s="3"/>
      <c r="I19" s="3"/>
      <c r="J19" s="20"/>
      <c r="K19" s="3"/>
      <c r="L19" s="3">
        <f t="shared" si="0"/>
        <v>6068.42</v>
      </c>
      <c r="M19" s="3"/>
      <c r="N19" s="20">
        <f t="shared" si="1"/>
        <v>0</v>
      </c>
      <c r="O19" s="12"/>
      <c r="P19" s="3">
        <f>--118114.99</f>
        <v>118114.99</v>
      </c>
      <c r="Q19" s="3"/>
      <c r="R19" s="20"/>
      <c r="S19" s="3"/>
      <c r="T19" s="3"/>
      <c r="U19" s="3"/>
      <c r="V19" s="20"/>
      <c r="W19" s="3"/>
      <c r="X19" s="3">
        <f t="shared" si="2"/>
        <v>118114.99</v>
      </c>
      <c r="Y19" s="3"/>
      <c r="Z19" s="20">
        <f t="shared" si="3"/>
        <v>0</v>
      </c>
    </row>
    <row r="20" spans="1:26" s="70" customFormat="1" ht="15" hidden="1" customHeight="1" outlineLevel="1" x14ac:dyDescent="0.25">
      <c r="A20" s="42"/>
      <c r="B20" s="12" t="str">
        <f>CONCATENATE("          ","4155"," - ","NON-TAXABLE SALES-FOOD")</f>
        <v xml:space="preserve">          4155 - NON-TAXABLE SALES-FOOD</v>
      </c>
      <c r="C20" s="12"/>
      <c r="D20" s="3">
        <f>--884.09</f>
        <v>884.09</v>
      </c>
      <c r="E20" s="3"/>
      <c r="F20" s="20"/>
      <c r="G20" s="3"/>
      <c r="H20" s="3"/>
      <c r="I20" s="3"/>
      <c r="J20" s="20"/>
      <c r="K20" s="3"/>
      <c r="L20" s="3">
        <f t="shared" si="0"/>
        <v>884.09</v>
      </c>
      <c r="M20" s="3"/>
      <c r="N20" s="20">
        <f t="shared" si="1"/>
        <v>0</v>
      </c>
      <c r="O20" s="12"/>
      <c r="P20" s="3">
        <f>--4683.41</f>
        <v>4683.41</v>
      </c>
      <c r="Q20" s="3"/>
      <c r="R20" s="20"/>
      <c r="S20" s="3"/>
      <c r="T20" s="3"/>
      <c r="U20" s="3"/>
      <c r="V20" s="20"/>
      <c r="W20" s="3"/>
      <c r="X20" s="3">
        <f t="shared" si="2"/>
        <v>4683.41</v>
      </c>
      <c r="Y20" s="3"/>
      <c r="Z20" s="20">
        <f t="shared" si="3"/>
        <v>0</v>
      </c>
    </row>
    <row r="21" spans="1:26" ht="15" customHeight="1" x14ac:dyDescent="0.25">
      <c r="A21" s="10"/>
      <c r="B21" s="11"/>
      <c r="C21" s="10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collapsed="1" x14ac:dyDescent="0.25">
      <c r="A22" s="11"/>
      <c r="B22" s="27" t="s">
        <v>288</v>
      </c>
      <c r="C22" s="11"/>
      <c r="D22" s="5">
        <f>SUM(OSRRefD16x_0)</f>
        <v>246668.49</v>
      </c>
      <c r="E22" s="5"/>
      <c r="F22" s="13">
        <f>IF(D$12=0,0,D22/D$12)</f>
        <v>0.30511529976620627</v>
      </c>
      <c r="G22" s="5"/>
      <c r="H22" s="5">
        <f>SUM(OSRRefH16x_0)</f>
        <v>257880</v>
      </c>
      <c r="I22" s="5"/>
      <c r="J22" s="13">
        <f>IF(H$12=0,0,H22/H$12)</f>
        <v>0.30313289041231151</v>
      </c>
      <c r="K22" s="5"/>
      <c r="L22" s="5">
        <f>+D22-H22</f>
        <v>-11211.510000000009</v>
      </c>
      <c r="M22" s="5"/>
      <c r="N22" s="13">
        <f>IF(H22=0,0,L22/H22)</f>
        <v>-4.3475686365751547E-2</v>
      </c>
      <c r="O22" s="11"/>
      <c r="P22" s="5">
        <f>SUM(OSRRefP16x_0)</f>
        <v>3350649.48</v>
      </c>
      <c r="Q22" s="5"/>
      <c r="R22" s="13">
        <f>IF(P$12=0,0,P22/P$12)</f>
        <v>0.25528712370458601</v>
      </c>
      <c r="S22" s="5"/>
      <c r="T22" s="5">
        <f>SUM(OSRRefT16x_0)</f>
        <v>3168901</v>
      </c>
      <c r="U22" s="5"/>
      <c r="V22" s="13">
        <f>IF(T$12=0,0,T22/T$12)</f>
        <v>0.29012597848477911</v>
      </c>
      <c r="W22" s="5"/>
      <c r="X22" s="5">
        <f>+P22-T22</f>
        <v>181748.47999999998</v>
      </c>
      <c r="Y22" s="5"/>
      <c r="Z22" s="13">
        <f>IF(T22=0,0,X22/T22)</f>
        <v>5.7353789215882724E-2</v>
      </c>
    </row>
    <row r="23" spans="1:26" s="70" customFormat="1" ht="15" hidden="1" customHeight="1" outlineLevel="1" x14ac:dyDescent="0.25">
      <c r="A23" s="42"/>
      <c r="B23" s="12" t="str">
        <f>CONCATENATE("          ","5000"," - ","PURCHASES @ COST")</f>
        <v xml:space="preserve">          5000 - PURCHASES @ COST</v>
      </c>
      <c r="C23" s="12"/>
      <c r="D23" s="3"/>
      <c r="E23" s="3"/>
      <c r="F23" s="20">
        <f>IF(D$12=0,0,D23/D$12)</f>
        <v>0</v>
      </c>
      <c r="G23" s="3"/>
      <c r="H23" s="3">
        <v>257880</v>
      </c>
      <c r="I23" s="3"/>
      <c r="J23" s="20">
        <f>IF(H$12=0,0,H23/H$12)</f>
        <v>0.30313289041231151</v>
      </c>
      <c r="K23" s="3"/>
      <c r="L23" s="3">
        <f>+D23-H23</f>
        <v>-257880</v>
      </c>
      <c r="M23" s="3"/>
      <c r="N23" s="20">
        <f>IF(H23=0,0,L23/H23)</f>
        <v>-1</v>
      </c>
      <c r="O23" s="12"/>
      <c r="P23" s="3"/>
      <c r="Q23" s="3"/>
      <c r="R23" s="20">
        <f>IF(P$12=0,0,P23/P$12)</f>
        <v>0</v>
      </c>
      <c r="S23" s="3"/>
      <c r="T23" s="3">
        <v>3168901</v>
      </c>
      <c r="U23" s="3"/>
      <c r="V23" s="20">
        <f>IF(T$12=0,0,T23/T$12)</f>
        <v>0.29012597848477911</v>
      </c>
      <c r="W23" s="3"/>
      <c r="X23" s="3">
        <f>+P23-T23</f>
        <v>-3168901</v>
      </c>
      <c r="Y23" s="3"/>
      <c r="Z23" s="20">
        <f>IF(T23=0,0,X23/T23)</f>
        <v>-1</v>
      </c>
    </row>
    <row r="24" spans="1:26" s="70" customFormat="1" ht="15" hidden="1" customHeight="1" outlineLevel="1" x14ac:dyDescent="0.25">
      <c r="A24" s="42"/>
      <c r="B24" s="12" t="str">
        <f>CONCATENATE("          ","5053"," - ","PURCHASES @ COST-FOOD")</f>
        <v xml:space="preserve">          5053 - PURCHASES @ COST-FOOD</v>
      </c>
      <c r="C24" s="12"/>
      <c r="D24" s="3">
        <v>204784.83</v>
      </c>
      <c r="E24" s="3"/>
      <c r="F24" s="20">
        <f>IF(D$12=0,0,D24/D$12)</f>
        <v>0.2533075253877039</v>
      </c>
      <c r="G24" s="3"/>
      <c r="H24" s="3"/>
      <c r="I24" s="3"/>
      <c r="J24" s="20">
        <f>IF(H$12=0,0,H24/H$12)</f>
        <v>0</v>
      </c>
      <c r="K24" s="3"/>
      <c r="L24" s="3">
        <f>+D24-H24</f>
        <v>204784.83</v>
      </c>
      <c r="M24" s="3"/>
      <c r="N24" s="20">
        <f>IF(H24=0,0,L24/H24)</f>
        <v>0</v>
      </c>
      <c r="O24" s="12"/>
      <c r="P24" s="3">
        <v>3282850.51</v>
      </c>
      <c r="Q24" s="3"/>
      <c r="R24" s="20">
        <f>IF(P$12=0,0,P24/P$12)</f>
        <v>0.2501214971164436</v>
      </c>
      <c r="S24" s="3"/>
      <c r="T24" s="3"/>
      <c r="U24" s="3"/>
      <c r="V24" s="20">
        <f>IF(T$12=0,0,T24/T$12)</f>
        <v>0</v>
      </c>
      <c r="W24" s="3"/>
      <c r="X24" s="3">
        <f>+P24-T24</f>
        <v>3282850.51</v>
      </c>
      <c r="Y24" s="3"/>
      <c r="Z24" s="20">
        <f>IF(T24=0,0,X24/T24)</f>
        <v>0</v>
      </c>
    </row>
    <row r="25" spans="1:26" s="70" customFormat="1" ht="15" hidden="1" customHeight="1" outlineLevel="1" x14ac:dyDescent="0.25">
      <c r="A25" s="42"/>
      <c r="B25" s="12" t="str">
        <f>CONCATENATE("          ","5059"," - ","PURCHASES @ COST-FOOD")</f>
        <v xml:space="preserve">          5059 - PURCHASES @ COST-FOOD</v>
      </c>
      <c r="C25" s="12"/>
      <c r="D25" s="3">
        <v>41883.660000000003</v>
      </c>
      <c r="E25" s="3"/>
      <c r="F25" s="20">
        <f>IF(D$12=0,0,D25/D$12)</f>
        <v>5.1807774378502355E-2</v>
      </c>
      <c r="G25" s="3"/>
      <c r="H25" s="3"/>
      <c r="I25" s="3"/>
      <c r="J25" s="20">
        <f>IF(H$12=0,0,H25/H$12)</f>
        <v>0</v>
      </c>
      <c r="K25" s="3"/>
      <c r="L25" s="3">
        <f>+D25-H25</f>
        <v>41883.660000000003</v>
      </c>
      <c r="M25" s="3"/>
      <c r="N25" s="20">
        <f>IF(H25=0,0,L25/H25)</f>
        <v>0</v>
      </c>
      <c r="O25" s="12"/>
      <c r="P25" s="3">
        <v>67798.97</v>
      </c>
      <c r="Q25" s="3"/>
      <c r="R25" s="20">
        <f>IF(P$12=0,0,P25/P$12)</f>
        <v>5.1656265881424024E-3</v>
      </c>
      <c r="S25" s="3"/>
      <c r="T25" s="3"/>
      <c r="U25" s="3"/>
      <c r="V25" s="20">
        <f>IF(T$12=0,0,T25/T$12)</f>
        <v>0</v>
      </c>
      <c r="W25" s="3"/>
      <c r="X25" s="3">
        <f>+P25-T25</f>
        <v>67798.97</v>
      </c>
      <c r="Y25" s="3"/>
      <c r="Z25" s="20">
        <f>IF(T25=0,0,X25/T25)</f>
        <v>0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289</v>
      </c>
      <c r="C27" s="28"/>
      <c r="D27" s="22">
        <f>D12-D22</f>
        <v>561775.04</v>
      </c>
      <c r="E27" s="15"/>
      <c r="F27" s="21">
        <f>IF(D$12=0,0,D27/D$12)</f>
        <v>0.69488470023379367</v>
      </c>
      <c r="G27" s="15"/>
      <c r="H27" s="22">
        <f>H12-H22</f>
        <v>592836</v>
      </c>
      <c r="I27" s="15"/>
      <c r="J27" s="21">
        <f>IF(H$12=0,0,H27/H$12)</f>
        <v>0.69686710958768849</v>
      </c>
      <c r="K27" s="16"/>
      <c r="L27" s="22">
        <f>+D27-H27</f>
        <v>-31060.959999999963</v>
      </c>
      <c r="M27" s="16"/>
      <c r="N27" s="21">
        <f>IF(H27=0,0,L27/H27)</f>
        <v>-5.2393849226430179E-2</v>
      </c>
      <c r="O27" s="27"/>
      <c r="P27" s="22">
        <f>P12-P22</f>
        <v>9774373.9500000011</v>
      </c>
      <c r="Q27" s="15"/>
      <c r="R27" s="21">
        <f>IF(P$12=0,0,P27/P$12)</f>
        <v>0.74471287629541394</v>
      </c>
      <c r="S27" s="15"/>
      <c r="T27" s="22">
        <f>T12-T22</f>
        <v>7753599</v>
      </c>
      <c r="U27" s="15"/>
      <c r="V27" s="21">
        <f>IF(T$12=0,0,T27/T$12)</f>
        <v>0.70987402151522083</v>
      </c>
      <c r="W27" s="16"/>
      <c r="X27" s="22">
        <f>+P27-T27</f>
        <v>2020774.9500000011</v>
      </c>
      <c r="Y27" s="16"/>
      <c r="Z27" s="21">
        <f>IF(T27=0,0,X27/T27)</f>
        <v>0.26062412435824978</v>
      </c>
    </row>
    <row r="28" spans="1:26" ht="15" customHeight="1" x14ac:dyDescent="0.25">
      <c r="A28" s="10"/>
      <c r="B28" s="11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25">
      <c r="A29" s="11"/>
      <c r="B29" s="27" t="s">
        <v>290</v>
      </c>
      <c r="C29" s="11"/>
      <c r="D29" s="23" cm="1">
        <f t="array" ref="D29">SUM(OSRRefD22x_0)</f>
        <v>603952.68000000017</v>
      </c>
      <c r="E29" s="23"/>
      <c r="F29" s="31">
        <f t="shared" ref="F29:F60" si="4">IF(D$12=0,0,D29/D$12)</f>
        <v>0.74705611163713581</v>
      </c>
      <c r="G29" s="23"/>
      <c r="H29" s="23" cm="1">
        <f t="array" ref="H29">SUM(OSRRefH22x_0)</f>
        <v>624908.43364127877</v>
      </c>
      <c r="I29" s="23"/>
      <c r="J29" s="31">
        <f t="shared" ref="J29:J60" si="5">IF(H$12=0,0,H29/H$12)</f>
        <v>0.73456762731778735</v>
      </c>
      <c r="K29" s="5"/>
      <c r="L29" s="23">
        <f t="shared" ref="L29:L60" si="6">+D29-H29</f>
        <v>-20955.753641278599</v>
      </c>
      <c r="M29" s="5"/>
      <c r="N29" s="31">
        <f t="shared" ref="N29:N60" si="7">IF(H29=0,0,L29/H29)</f>
        <v>-3.353411878148535E-2</v>
      </c>
      <c r="O29" s="11"/>
      <c r="P29" s="23" cm="1">
        <f t="array" ref="P29">SUM(OSRRefP22x_0)</f>
        <v>7257822.5300000003</v>
      </c>
      <c r="Q29" s="23"/>
      <c r="R29" s="31">
        <f t="shared" ref="R29:R60" si="8">IF(P$12=0,0,P29/P$12)</f>
        <v>0.55297596752556799</v>
      </c>
      <c r="S29" s="23"/>
      <c r="T29" s="23" cm="1">
        <f t="array" ref="T29">SUM(OSRRefT22x_0)</f>
        <v>7745470.2961838469</v>
      </c>
      <c r="U29" s="23"/>
      <c r="V29" s="31">
        <f t="shared" ref="V29:V60" si="9">IF(T$12=0,0,T29/T$12)</f>
        <v>0.70912980509808621</v>
      </c>
      <c r="W29" s="5"/>
      <c r="X29" s="23">
        <f t="shared" ref="X29:X60" si="10">+P29-T29</f>
        <v>-487647.76618384663</v>
      </c>
      <c r="Y29" s="5"/>
      <c r="Z29" s="31">
        <f t="shared" ref="Z29:Z60" si="11">IF(T29=0,0,X29/T29)</f>
        <v>-6.2959090608624257E-2</v>
      </c>
    </row>
    <row r="30" spans="1:26" s="69" customFormat="1" ht="15" customHeight="1" outlineLevel="1" collapsed="1" x14ac:dyDescent="0.25">
      <c r="A30" s="26"/>
      <c r="B30" s="14" t="str">
        <f>CONCATENATE("     ","*Benefits                                         ")</f>
        <v xml:space="preserve">     *Benefits                                         </v>
      </c>
      <c r="C30" s="14"/>
      <c r="D30" s="2">
        <f>SUM(OSRRefD22_0x_0)</f>
        <v>113737.51000000001</v>
      </c>
      <c r="E30" s="2"/>
      <c r="F30" s="6">
        <f t="shared" si="4"/>
        <v>0.14068701867154532</v>
      </c>
      <c r="G30" s="2"/>
      <c r="H30" s="2">
        <f>SUM(OSRRefH22_0x_0)</f>
        <v>132753.21966743263</v>
      </c>
      <c r="I30" s="2"/>
      <c r="J30" s="6">
        <f t="shared" si="5"/>
        <v>0.15604881025798578</v>
      </c>
      <c r="K30" s="2"/>
      <c r="L30" s="2">
        <f t="shared" si="6"/>
        <v>-19015.709667432617</v>
      </c>
      <c r="M30" s="2"/>
      <c r="N30" s="6">
        <f t="shared" si="7"/>
        <v>-0.14324104315563807</v>
      </c>
      <c r="O30" s="14"/>
      <c r="P30" s="2">
        <f>SUM(OSRRefP22_0x_0)</f>
        <v>1295187.4799999997</v>
      </c>
      <c r="Q30" s="2"/>
      <c r="R30" s="6">
        <f t="shared" si="8"/>
        <v>9.8680774697862739E-2</v>
      </c>
      <c r="S30" s="2"/>
      <c r="T30" s="2">
        <f>SUM(OSRRefT22_0x_0)</f>
        <v>1570239.799037694</v>
      </c>
      <c r="U30" s="2"/>
      <c r="V30" s="6">
        <f t="shared" si="9"/>
        <v>0.14376194085948216</v>
      </c>
      <c r="W30" s="2"/>
      <c r="X30" s="2">
        <f t="shared" si="10"/>
        <v>-275052.31903769425</v>
      </c>
      <c r="Y30" s="2"/>
      <c r="Z30" s="6">
        <f t="shared" si="11"/>
        <v>-0.17516580537969892</v>
      </c>
    </row>
    <row r="31" spans="1:26" s="70" customFormat="1" ht="15" hidden="1" customHeight="1" outlineLevel="2" x14ac:dyDescent="0.25">
      <c r="A31" s="25"/>
      <c r="B31" s="12" t="str">
        <f>CONCATENATE("          ","6111"," - ","F.I.C.A.")</f>
        <v xml:space="preserve">          6111 - F.I.C.A.</v>
      </c>
      <c r="C31" s="12"/>
      <c r="D31" s="8">
        <v>15295.45</v>
      </c>
      <c r="E31" s="3"/>
      <c r="F31" s="7">
        <f t="shared" si="4"/>
        <v>1.8919626952794092E-2</v>
      </c>
      <c r="G31" s="3"/>
      <c r="H31" s="8">
        <v>14683.747996894201</v>
      </c>
      <c r="I31" s="3"/>
      <c r="J31" s="7">
        <f t="shared" si="5"/>
        <v>1.7260458245635678E-2</v>
      </c>
      <c r="K31" s="3"/>
      <c r="L31" s="8">
        <f t="shared" si="6"/>
        <v>611.70200310580003</v>
      </c>
      <c r="M31" s="3"/>
      <c r="N31" s="7">
        <f t="shared" si="7"/>
        <v>4.1658437834480866E-2</v>
      </c>
      <c r="O31" s="12"/>
      <c r="P31" s="8">
        <v>186247.89</v>
      </c>
      <c r="Q31" s="3"/>
      <c r="R31" s="7">
        <f t="shared" si="8"/>
        <v>1.4190290096876421E-2</v>
      </c>
      <c r="S31" s="3"/>
      <c r="T31" s="8">
        <v>181717.97207269401</v>
      </c>
      <c r="U31" s="3"/>
      <c r="V31" s="7">
        <f t="shared" si="9"/>
        <v>1.6637031089283039E-2</v>
      </c>
      <c r="W31" s="3"/>
      <c r="X31" s="8">
        <f t="shared" si="10"/>
        <v>4529.9179273059999</v>
      </c>
      <c r="Y31" s="3"/>
      <c r="Z31" s="7">
        <f t="shared" si="11"/>
        <v>2.4928287915814196E-2</v>
      </c>
    </row>
    <row r="32" spans="1:26" s="70" customFormat="1" ht="15" hidden="1" customHeight="1" outlineLevel="2" x14ac:dyDescent="0.25">
      <c r="A32" s="25"/>
      <c r="B32" s="12" t="str">
        <f>CONCATENATE("          ","6112"," - ","COMPENSATION INSURANCE")</f>
        <v xml:space="preserve">          6112 - COMPENSATION INSURANCE</v>
      </c>
      <c r="C32" s="12"/>
      <c r="D32" s="8">
        <v>15938.65</v>
      </c>
      <c r="E32" s="3"/>
      <c r="F32" s="7">
        <f t="shared" si="4"/>
        <v>1.9715229831822636E-2</v>
      </c>
      <c r="G32" s="3"/>
      <c r="H32" s="8">
        <v>11472.455750159201</v>
      </c>
      <c r="I32" s="3"/>
      <c r="J32" s="7">
        <f t="shared" si="5"/>
        <v>1.3485647090402909E-2</v>
      </c>
      <c r="K32" s="3"/>
      <c r="L32" s="8">
        <f t="shared" si="6"/>
        <v>4466.1942498407989</v>
      </c>
      <c r="M32" s="3"/>
      <c r="N32" s="7">
        <f t="shared" si="7"/>
        <v>0.3892971432710754</v>
      </c>
      <c r="O32" s="12"/>
      <c r="P32" s="8">
        <v>115129.48</v>
      </c>
      <c r="Q32" s="3"/>
      <c r="R32" s="7">
        <f t="shared" si="8"/>
        <v>8.7717542459274673E-3</v>
      </c>
      <c r="S32" s="3"/>
      <c r="T32" s="8">
        <v>146849.62789618099</v>
      </c>
      <c r="U32" s="3"/>
      <c r="V32" s="7">
        <f t="shared" si="9"/>
        <v>1.3444690125537284E-2</v>
      </c>
      <c r="W32" s="3"/>
      <c r="X32" s="8">
        <f t="shared" si="10"/>
        <v>-31720.147896180992</v>
      </c>
      <c r="Y32" s="3"/>
      <c r="Z32" s="7">
        <f t="shared" si="11"/>
        <v>-0.21600427832616875</v>
      </c>
    </row>
    <row r="33" spans="1:26" s="70" customFormat="1" ht="15" hidden="1" customHeight="1" outlineLevel="2" x14ac:dyDescent="0.25">
      <c r="A33" s="25"/>
      <c r="B33" s="12" t="str">
        <f>CONCATENATE("          ","6113"," - ","GROUP INSURANCE")</f>
        <v xml:space="preserve">          6113 - GROUP INSURANCE</v>
      </c>
      <c r="C33" s="12"/>
      <c r="D33" s="8">
        <v>52207.54</v>
      </c>
      <c r="E33" s="3"/>
      <c r="F33" s="7">
        <f t="shared" si="4"/>
        <v>6.4577843798193299E-2</v>
      </c>
      <c r="G33" s="3"/>
      <c r="H33" s="8">
        <v>76463.415384615393</v>
      </c>
      <c r="I33" s="3"/>
      <c r="J33" s="7">
        <f t="shared" si="5"/>
        <v>8.9881247542793821E-2</v>
      </c>
      <c r="K33" s="3"/>
      <c r="L33" s="8">
        <f t="shared" si="6"/>
        <v>-24255.875384615392</v>
      </c>
      <c r="M33" s="3"/>
      <c r="N33" s="7">
        <f t="shared" si="7"/>
        <v>-0.31722197161357413</v>
      </c>
      <c r="O33" s="12"/>
      <c r="P33" s="8">
        <v>599366.06999999995</v>
      </c>
      <c r="Q33" s="3"/>
      <c r="R33" s="7">
        <f t="shared" si="8"/>
        <v>4.5665904765550568E-2</v>
      </c>
      <c r="S33" s="3"/>
      <c r="T33" s="8">
        <v>880577.07307692303</v>
      </c>
      <c r="U33" s="3"/>
      <c r="V33" s="7">
        <f t="shared" si="9"/>
        <v>8.0620469038857681E-2</v>
      </c>
      <c r="W33" s="3"/>
      <c r="X33" s="8">
        <f t="shared" si="10"/>
        <v>-281211.00307692308</v>
      </c>
      <c r="Y33" s="3"/>
      <c r="Z33" s="7">
        <f t="shared" si="11"/>
        <v>-0.31934854049096711</v>
      </c>
    </row>
    <row r="34" spans="1:26" s="70" customFormat="1" ht="15" hidden="1" customHeight="1" outlineLevel="2" x14ac:dyDescent="0.25">
      <c r="A34" s="25"/>
      <c r="B34" s="12" t="str">
        <f>CONCATENATE("          ","6114"," - ","STATE UNEMPLOYMENT INSURANCE")</f>
        <v xml:space="preserve">          6114 - STATE UNEMPLOYMENT INSURANCE</v>
      </c>
      <c r="C34" s="12"/>
      <c r="D34" s="8">
        <v>1196.43</v>
      </c>
      <c r="E34" s="3"/>
      <c r="F34" s="7">
        <f t="shared" si="4"/>
        <v>1.4799178366855135E-3</v>
      </c>
      <c r="G34" s="3"/>
      <c r="H34" s="8">
        <v>635.67696768692304</v>
      </c>
      <c r="I34" s="3"/>
      <c r="J34" s="7">
        <f t="shared" si="5"/>
        <v>7.4722582822813138E-4</v>
      </c>
      <c r="K34" s="3"/>
      <c r="L34" s="8">
        <f t="shared" si="6"/>
        <v>560.75303231307703</v>
      </c>
      <c r="M34" s="3"/>
      <c r="N34" s="7">
        <f t="shared" si="7"/>
        <v>0.88213520517114796</v>
      </c>
      <c r="O34" s="12"/>
      <c r="P34" s="8">
        <v>8672.27</v>
      </c>
      <c r="Q34" s="3"/>
      <c r="R34" s="7">
        <f t="shared" si="8"/>
        <v>6.607432014313745E-4</v>
      </c>
      <c r="S34" s="3"/>
      <c r="T34" s="8">
        <v>8136.7867699730796</v>
      </c>
      <c r="U34" s="3"/>
      <c r="V34" s="7">
        <f t="shared" si="9"/>
        <v>7.4495644495061386E-4</v>
      </c>
      <c r="W34" s="3"/>
      <c r="X34" s="8">
        <f t="shared" si="10"/>
        <v>535.48323002692086</v>
      </c>
      <c r="Y34" s="3"/>
      <c r="Z34" s="7">
        <f t="shared" si="11"/>
        <v>6.5810158870452065E-2</v>
      </c>
    </row>
    <row r="35" spans="1:26" s="70" customFormat="1" ht="15" hidden="1" customHeight="1" outlineLevel="2" x14ac:dyDescent="0.25">
      <c r="A35" s="25"/>
      <c r="B35" s="12" t="str">
        <f>CONCATENATE("          ","6115"," - ","P.E.R.S.")</f>
        <v xml:space="preserve">          6115 - P.E.R.S.</v>
      </c>
      <c r="C35" s="12"/>
      <c r="D35" s="8">
        <v>6230.92</v>
      </c>
      <c r="E35" s="3"/>
      <c r="F35" s="7">
        <f t="shared" si="4"/>
        <v>7.7073039350070618E-3</v>
      </c>
      <c r="G35" s="3"/>
      <c r="H35" s="8">
        <v>6656.33067076923</v>
      </c>
      <c r="I35" s="3"/>
      <c r="J35" s="7">
        <f t="shared" si="5"/>
        <v>7.8243863648611647E-3</v>
      </c>
      <c r="K35" s="3"/>
      <c r="L35" s="8">
        <f t="shared" si="6"/>
        <v>-425.41067076922991</v>
      </c>
      <c r="M35" s="3"/>
      <c r="N35" s="7">
        <f t="shared" si="7"/>
        <v>-6.3910687706274644E-2</v>
      </c>
      <c r="O35" s="12"/>
      <c r="P35" s="8">
        <v>83972.91</v>
      </c>
      <c r="Q35" s="3"/>
      <c r="R35" s="7">
        <f t="shared" si="8"/>
        <v>6.3979245787906371E-3</v>
      </c>
      <c r="S35" s="3"/>
      <c r="T35" s="8">
        <v>76784.955189230794</v>
      </c>
      <c r="U35" s="3"/>
      <c r="V35" s="7">
        <f t="shared" si="9"/>
        <v>7.0299798754159572E-3</v>
      </c>
      <c r="W35" s="3"/>
      <c r="X35" s="8">
        <f t="shared" si="10"/>
        <v>7187.9548107692099</v>
      </c>
      <c r="Y35" s="3"/>
      <c r="Z35" s="7">
        <f t="shared" si="11"/>
        <v>9.3611499714430141E-2</v>
      </c>
    </row>
    <row r="36" spans="1:26" s="70" customFormat="1" ht="15" hidden="1" customHeight="1" outlineLevel="2" x14ac:dyDescent="0.25">
      <c r="A36" s="25"/>
      <c r="B36" s="12" t="str">
        <f>CONCATENATE("          ","6116"," - ","EDUCATIONAL BENEFITS")</f>
        <v xml:space="preserve">          6116 - EDUCATIONAL BENEFITS</v>
      </c>
      <c r="C36" s="12"/>
      <c r="D36" s="8"/>
      <c r="E36" s="3"/>
      <c r="F36" s="7">
        <f t="shared" si="4"/>
        <v>0</v>
      </c>
      <c r="G36" s="3"/>
      <c r="H36" s="8">
        <v>0</v>
      </c>
      <c r="I36" s="3"/>
      <c r="J36" s="7">
        <f t="shared" si="5"/>
        <v>0</v>
      </c>
      <c r="K36" s="3"/>
      <c r="L36" s="8">
        <f t="shared" si="6"/>
        <v>0</v>
      </c>
      <c r="M36" s="3"/>
      <c r="N36" s="7">
        <f t="shared" si="7"/>
        <v>0</v>
      </c>
      <c r="O36" s="12"/>
      <c r="P36" s="8"/>
      <c r="Q36" s="3"/>
      <c r="R36" s="7">
        <f t="shared" si="8"/>
        <v>0</v>
      </c>
      <c r="S36" s="3"/>
      <c r="T36" s="8">
        <v>0</v>
      </c>
      <c r="U36" s="3"/>
      <c r="V36" s="7">
        <f t="shared" si="9"/>
        <v>0</v>
      </c>
      <c r="W36" s="3"/>
      <c r="X36" s="8">
        <f t="shared" si="10"/>
        <v>0</v>
      </c>
      <c r="Y36" s="3"/>
      <c r="Z36" s="7">
        <f t="shared" si="11"/>
        <v>0</v>
      </c>
    </row>
    <row r="37" spans="1:26" s="70" customFormat="1" ht="15" hidden="1" customHeight="1" outlineLevel="2" x14ac:dyDescent="0.25">
      <c r="A37" s="25"/>
      <c r="B37" s="12" t="str">
        <f>CONCATENATE("          ","6117"," - ","RETIREMENT STAFF HOURLY")</f>
        <v xml:space="preserve">          6117 - RETIREMENT STAFF HOURLY</v>
      </c>
      <c r="C37" s="12"/>
      <c r="D37" s="8">
        <v>1605.46</v>
      </c>
      <c r="E37" s="3"/>
      <c r="F37" s="7">
        <f t="shared" si="4"/>
        <v>1.985865357843856E-3</v>
      </c>
      <c r="G37" s="3"/>
      <c r="H37" s="8"/>
      <c r="I37" s="3"/>
      <c r="J37" s="7">
        <f t="shared" si="5"/>
        <v>0</v>
      </c>
      <c r="K37" s="3"/>
      <c r="L37" s="8">
        <f t="shared" si="6"/>
        <v>1605.46</v>
      </c>
      <c r="M37" s="3"/>
      <c r="N37" s="7">
        <f t="shared" si="7"/>
        <v>0</v>
      </c>
      <c r="O37" s="12"/>
      <c r="P37" s="8">
        <v>18680.39</v>
      </c>
      <c r="Q37" s="3"/>
      <c r="R37" s="7">
        <f t="shared" si="8"/>
        <v>1.4232652687919808E-3</v>
      </c>
      <c r="S37" s="3"/>
      <c r="T37" s="8"/>
      <c r="U37" s="3"/>
      <c r="V37" s="7">
        <f t="shared" si="9"/>
        <v>0</v>
      </c>
      <c r="W37" s="3"/>
      <c r="X37" s="8">
        <f t="shared" si="10"/>
        <v>18680.39</v>
      </c>
      <c r="Y37" s="3"/>
      <c r="Z37" s="7">
        <f t="shared" si="11"/>
        <v>0</v>
      </c>
    </row>
    <row r="38" spans="1:26" s="70" customFormat="1" ht="15" hidden="1" customHeight="1" outlineLevel="2" x14ac:dyDescent="0.25">
      <c r="A38" s="25"/>
      <c r="B38" s="12" t="str">
        <f>CONCATENATE("          ","6118"," - ","VACATION")</f>
        <v xml:space="preserve">          6118 - VACATION</v>
      </c>
      <c r="C38" s="12"/>
      <c r="D38" s="8">
        <v>9362.6</v>
      </c>
      <c r="E38" s="3"/>
      <c r="F38" s="7">
        <f t="shared" si="4"/>
        <v>1.1581019146754752E-2</v>
      </c>
      <c r="G38" s="3"/>
      <c r="H38" s="8">
        <v>8133.3911741538404</v>
      </c>
      <c r="I38" s="3"/>
      <c r="J38" s="7">
        <f t="shared" si="5"/>
        <v>9.5606420640423368E-3</v>
      </c>
      <c r="K38" s="3"/>
      <c r="L38" s="8">
        <f t="shared" si="6"/>
        <v>1229.2088258461599</v>
      </c>
      <c r="M38" s="3"/>
      <c r="N38" s="7">
        <f t="shared" si="7"/>
        <v>0.15113115790524376</v>
      </c>
      <c r="O38" s="12"/>
      <c r="P38" s="8">
        <v>126892.37</v>
      </c>
      <c r="Q38" s="3"/>
      <c r="R38" s="7">
        <f t="shared" si="8"/>
        <v>9.6679728365254413E-3</v>
      </c>
      <c r="S38" s="3"/>
      <c r="T38" s="8">
        <v>96062.815453846095</v>
      </c>
      <c r="U38" s="3"/>
      <c r="V38" s="7">
        <f t="shared" si="9"/>
        <v>8.7949476268112704E-3</v>
      </c>
      <c r="W38" s="3"/>
      <c r="X38" s="8">
        <f t="shared" si="10"/>
        <v>30829.5545461539</v>
      </c>
      <c r="Y38" s="3"/>
      <c r="Z38" s="7">
        <f t="shared" si="11"/>
        <v>0.32093119903367945</v>
      </c>
    </row>
    <row r="39" spans="1:26" s="70" customFormat="1" ht="15" hidden="1" customHeight="1" outlineLevel="2" x14ac:dyDescent="0.25">
      <c r="A39" s="25"/>
      <c r="B39" s="12" t="str">
        <f>CONCATENATE("          ","6119"," - ","SICK LEAVE")</f>
        <v xml:space="preserve">          6119 - SICK LEAVE</v>
      </c>
      <c r="C39" s="12"/>
      <c r="D39" s="8">
        <v>7073.14</v>
      </c>
      <c r="E39" s="3"/>
      <c r="F39" s="7">
        <f t="shared" si="4"/>
        <v>8.7490835630783022E-3</v>
      </c>
      <c r="G39" s="3"/>
      <c r="H39" s="8">
        <v>8547.2017231538393</v>
      </c>
      <c r="I39" s="3"/>
      <c r="J39" s="7">
        <f t="shared" si="5"/>
        <v>1.0047068261504238E-2</v>
      </c>
      <c r="K39" s="3"/>
      <c r="L39" s="8">
        <f t="shared" si="6"/>
        <v>-1474.061723153839</v>
      </c>
      <c r="M39" s="3"/>
      <c r="N39" s="7">
        <f t="shared" si="7"/>
        <v>-0.17246132370559328</v>
      </c>
      <c r="O39" s="12"/>
      <c r="P39" s="8">
        <v>101429.16</v>
      </c>
      <c r="Q39" s="3"/>
      <c r="R39" s="7">
        <f t="shared" si="8"/>
        <v>7.7279222045548756E-3</v>
      </c>
      <c r="S39" s="3"/>
      <c r="T39" s="8">
        <v>111179.568578846</v>
      </c>
      <c r="U39" s="3"/>
      <c r="V39" s="7">
        <f t="shared" si="9"/>
        <v>1.0178948828459235E-2</v>
      </c>
      <c r="W39" s="3"/>
      <c r="X39" s="8">
        <f t="shared" si="10"/>
        <v>-9750.4085788459925</v>
      </c>
      <c r="Y39" s="3"/>
      <c r="Z39" s="7">
        <f t="shared" si="11"/>
        <v>-8.7699643949699507E-2</v>
      </c>
    </row>
    <row r="40" spans="1:26" s="70" customFormat="1" ht="15" hidden="1" customHeight="1" outlineLevel="2" x14ac:dyDescent="0.25">
      <c r="A40" s="25"/>
      <c r="B40" s="12" t="str">
        <f>CONCATENATE("          ","6156"," - ","EMPLOYEE MEALS")</f>
        <v xml:space="preserve">          6156 - EMPLOYEE MEALS</v>
      </c>
      <c r="C40" s="12"/>
      <c r="D40" s="8">
        <v>4827.32</v>
      </c>
      <c r="E40" s="3"/>
      <c r="F40" s="7">
        <f t="shared" si="4"/>
        <v>5.9711282493657902E-3</v>
      </c>
      <c r="G40" s="3"/>
      <c r="H40" s="8">
        <v>6161</v>
      </c>
      <c r="I40" s="3"/>
      <c r="J40" s="7">
        <f t="shared" si="5"/>
        <v>7.2421348605174931E-3</v>
      </c>
      <c r="K40" s="3"/>
      <c r="L40" s="8">
        <f t="shared" si="6"/>
        <v>-1333.6800000000003</v>
      </c>
      <c r="M40" s="3"/>
      <c r="N40" s="7">
        <f t="shared" si="7"/>
        <v>-0.21647135205323817</v>
      </c>
      <c r="O40" s="12"/>
      <c r="P40" s="8">
        <v>54796.94</v>
      </c>
      <c r="Q40" s="3"/>
      <c r="R40" s="7">
        <f t="shared" si="8"/>
        <v>4.1749974994139873E-3</v>
      </c>
      <c r="S40" s="3"/>
      <c r="T40" s="8">
        <v>68931</v>
      </c>
      <c r="U40" s="3"/>
      <c r="V40" s="7">
        <f t="shared" si="9"/>
        <v>6.3109178301670862E-3</v>
      </c>
      <c r="W40" s="3"/>
      <c r="X40" s="8">
        <f t="shared" si="10"/>
        <v>-14134.059999999998</v>
      </c>
      <c r="Y40" s="3"/>
      <c r="Z40" s="7">
        <f t="shared" si="11"/>
        <v>-0.20504649577113343</v>
      </c>
    </row>
    <row r="41" spans="1:26" s="69" customFormat="1" ht="15" customHeight="1" outlineLevel="1" collapsed="1" x14ac:dyDescent="0.25">
      <c r="A41" s="26"/>
      <c r="B41" s="14" t="str">
        <f>CONCATENATE("     ","*Payroll                                          ")</f>
        <v xml:space="preserve">     *Payroll                                          </v>
      </c>
      <c r="C41" s="14"/>
      <c r="D41" s="2">
        <f>SUM(OSRRefD22_1x_0)</f>
        <v>248746.41999999998</v>
      </c>
      <c r="E41" s="2"/>
      <c r="F41" s="6">
        <f t="shared" si="4"/>
        <v>0.30768558442170968</v>
      </c>
      <c r="G41" s="2"/>
      <c r="H41" s="2">
        <f>SUM(OSRRefH22_1x_0)</f>
        <v>286898.21397384605</v>
      </c>
      <c r="I41" s="2"/>
      <c r="J41" s="6">
        <f t="shared" si="5"/>
        <v>0.33724323272848522</v>
      </c>
      <c r="K41" s="2"/>
      <c r="L41" s="2">
        <f t="shared" si="6"/>
        <v>-38151.79397384607</v>
      </c>
      <c r="M41" s="2"/>
      <c r="N41" s="6">
        <f t="shared" si="7"/>
        <v>-0.13298024217510127</v>
      </c>
      <c r="O41" s="14"/>
      <c r="P41" s="2">
        <f>SUM(OSRRefP22_1x_0)</f>
        <v>3359000.91</v>
      </c>
      <c r="Q41" s="2"/>
      <c r="R41" s="6">
        <f t="shared" si="8"/>
        <v>0.25592342199727408</v>
      </c>
      <c r="S41" s="2"/>
      <c r="T41" s="2">
        <f>SUM(OSRRefT22_1x_0)</f>
        <v>3679931.4971461534</v>
      </c>
      <c r="U41" s="2"/>
      <c r="V41" s="6">
        <f t="shared" si="9"/>
        <v>0.33691293175977599</v>
      </c>
      <c r="W41" s="2"/>
      <c r="X41" s="2">
        <f t="shared" si="10"/>
        <v>-320930.58714615321</v>
      </c>
      <c r="Y41" s="2"/>
      <c r="Z41" s="6">
        <f t="shared" si="11"/>
        <v>-8.7211022105993033E-2</v>
      </c>
    </row>
    <row r="42" spans="1:26" s="70" customFormat="1" ht="15" hidden="1" customHeight="1" outlineLevel="2" x14ac:dyDescent="0.25">
      <c r="A42" s="25"/>
      <c r="B42" s="12" t="str">
        <f>CONCATENATE("          ","6001"," - ","ADMINISTRATIVE SALARIES")</f>
        <v xml:space="preserve">          6001 - ADMINISTRATIVE SALARIES</v>
      </c>
      <c r="C42" s="12"/>
      <c r="D42" s="8">
        <v>19678.77</v>
      </c>
      <c r="E42" s="3"/>
      <c r="F42" s="7">
        <f t="shared" si="4"/>
        <v>2.4341551722233463E-2</v>
      </c>
      <c r="G42" s="3"/>
      <c r="H42" s="8">
        <v>10268.307692307701</v>
      </c>
      <c r="I42" s="3"/>
      <c r="J42" s="7">
        <f t="shared" si="5"/>
        <v>1.2070194627005605E-2</v>
      </c>
      <c r="K42" s="3"/>
      <c r="L42" s="8">
        <f t="shared" si="6"/>
        <v>9410.4623076922999</v>
      </c>
      <c r="M42" s="3"/>
      <c r="N42" s="7">
        <f t="shared" si="7"/>
        <v>0.91645698489751737</v>
      </c>
      <c r="O42" s="12"/>
      <c r="P42" s="8">
        <v>226890.36</v>
      </c>
      <c r="Q42" s="3"/>
      <c r="R42" s="7">
        <f t="shared" si="8"/>
        <v>1.7286853711925142E-2</v>
      </c>
      <c r="S42" s="3"/>
      <c r="T42" s="8">
        <v>123219.69230769201</v>
      </c>
      <c r="U42" s="3"/>
      <c r="V42" s="7">
        <f t="shared" si="9"/>
        <v>1.1281271898163608E-2</v>
      </c>
      <c r="W42" s="3"/>
      <c r="X42" s="8">
        <f t="shared" si="10"/>
        <v>103670.66769230798</v>
      </c>
      <c r="Y42" s="3"/>
      <c r="Z42" s="7">
        <f t="shared" si="11"/>
        <v>0.84134821107515723</v>
      </c>
    </row>
    <row r="43" spans="1:26" s="70" customFormat="1" ht="15" hidden="1" customHeight="1" outlineLevel="2" x14ac:dyDescent="0.25">
      <c r="A43" s="25"/>
      <c r="B43" s="12" t="str">
        <f>CONCATENATE("          ","6002"," - ","STAFF SALARIES")</f>
        <v xml:space="preserve">          6002 - STAFF SALARIES</v>
      </c>
      <c r="C43" s="12"/>
      <c r="D43" s="8">
        <v>47095.93</v>
      </c>
      <c r="E43" s="3"/>
      <c r="F43" s="7">
        <f t="shared" si="4"/>
        <v>5.82550645188539E-2</v>
      </c>
      <c r="G43" s="3"/>
      <c r="H43" s="8">
        <v>62017.5431615384</v>
      </c>
      <c r="I43" s="3"/>
      <c r="J43" s="7">
        <f t="shared" si="5"/>
        <v>7.2900407611398405E-2</v>
      </c>
      <c r="K43" s="3"/>
      <c r="L43" s="8">
        <f t="shared" si="6"/>
        <v>-14921.6131615384</v>
      </c>
      <c r="M43" s="3"/>
      <c r="N43" s="7">
        <f t="shared" si="7"/>
        <v>-0.24060310036261451</v>
      </c>
      <c r="O43" s="12"/>
      <c r="P43" s="8">
        <v>651219.29</v>
      </c>
      <c r="Q43" s="3"/>
      <c r="R43" s="7">
        <f t="shared" si="8"/>
        <v>4.9616619236770382E-2</v>
      </c>
      <c r="S43" s="3"/>
      <c r="T43" s="8">
        <v>710065.60843846097</v>
      </c>
      <c r="U43" s="3"/>
      <c r="V43" s="7">
        <f t="shared" si="9"/>
        <v>6.5009440003521254E-2</v>
      </c>
      <c r="W43" s="3"/>
      <c r="X43" s="8">
        <f t="shared" si="10"/>
        <v>-58846.318438460934</v>
      </c>
      <c r="Y43" s="3"/>
      <c r="Z43" s="7">
        <f t="shared" si="11"/>
        <v>-8.2874480525641378E-2</v>
      </c>
    </row>
    <row r="44" spans="1:26" s="70" customFormat="1" ht="15" hidden="1" customHeight="1" outlineLevel="2" x14ac:dyDescent="0.25">
      <c r="A44" s="25"/>
      <c r="B44" s="12" t="str">
        <f>CONCATENATE("          ","6003"," - ","STAFF HOURLY-9 MONTH")</f>
        <v xml:space="preserve">          6003 - STAFF HOURLY-9 MONTH</v>
      </c>
      <c r="C44" s="12"/>
      <c r="D44" s="8"/>
      <c r="E44" s="3"/>
      <c r="F44" s="7">
        <f t="shared" si="4"/>
        <v>0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0</v>
      </c>
      <c r="U44" s="3"/>
      <c r="V44" s="7">
        <f t="shared" si="9"/>
        <v>0</v>
      </c>
      <c r="W44" s="3"/>
      <c r="X44" s="8">
        <f t="shared" si="10"/>
        <v>0</v>
      </c>
      <c r="Y44" s="3"/>
      <c r="Z44" s="7">
        <f t="shared" si="11"/>
        <v>0</v>
      </c>
    </row>
    <row r="45" spans="1:26" s="70" customFormat="1" ht="15" hidden="1" customHeight="1" outlineLevel="2" x14ac:dyDescent="0.25">
      <c r="A45" s="25"/>
      <c r="B45" s="12" t="str">
        <f>CONCATENATE("          ","6004"," - ","STAFF HOURLY")</f>
        <v xml:space="preserve">          6004 - STAFF HOURLY</v>
      </c>
      <c r="C45" s="12"/>
      <c r="D45" s="8">
        <v>78225.039999999994</v>
      </c>
      <c r="E45" s="3"/>
      <c r="F45" s="7">
        <f t="shared" si="4"/>
        <v>9.6760054471584422E-2</v>
      </c>
      <c r="G45" s="3"/>
      <c r="H45" s="8">
        <v>104521.57832</v>
      </c>
      <c r="I45" s="3"/>
      <c r="J45" s="7">
        <f t="shared" si="5"/>
        <v>0.12286306866216222</v>
      </c>
      <c r="K45" s="3"/>
      <c r="L45" s="8">
        <f t="shared" si="6"/>
        <v>-26296.538320000007</v>
      </c>
      <c r="M45" s="3"/>
      <c r="N45" s="7">
        <f t="shared" si="7"/>
        <v>-0.25158956401798055</v>
      </c>
      <c r="O45" s="12"/>
      <c r="P45" s="8">
        <v>970344.47</v>
      </c>
      <c r="Q45" s="3"/>
      <c r="R45" s="7">
        <f t="shared" si="8"/>
        <v>7.3930875260921333E-2</v>
      </c>
      <c r="S45" s="3"/>
      <c r="T45" s="8">
        <v>1322687.3592000001</v>
      </c>
      <c r="U45" s="3"/>
      <c r="V45" s="7">
        <f t="shared" si="9"/>
        <v>0.1210974922590982</v>
      </c>
      <c r="W45" s="3"/>
      <c r="X45" s="8">
        <f t="shared" si="10"/>
        <v>-352342.88920000009</v>
      </c>
      <c r="Y45" s="3"/>
      <c r="Z45" s="7">
        <f t="shared" si="11"/>
        <v>-0.26638410562349923</v>
      </c>
    </row>
    <row r="46" spans="1:26" s="70" customFormat="1" ht="15" hidden="1" customHeight="1" outlineLevel="2" x14ac:dyDescent="0.25">
      <c r="A46" s="25"/>
      <c r="B46" s="12" t="str">
        <f>CONCATENATE("          ","6005"," - ","TEMPORARY WAGES-HOURLY")</f>
        <v xml:space="preserve">          6005 - TEMPORARY WAGES-HOURLY</v>
      </c>
      <c r="C46" s="12"/>
      <c r="D46" s="8">
        <v>26337.21</v>
      </c>
      <c r="E46" s="3"/>
      <c r="F46" s="7">
        <f t="shared" si="4"/>
        <v>3.2577674287281387E-2</v>
      </c>
      <c r="G46" s="3"/>
      <c r="H46" s="8">
        <v>23287.095549999998</v>
      </c>
      <c r="I46" s="3"/>
      <c r="J46" s="7">
        <f t="shared" si="5"/>
        <v>2.7373524830848366E-2</v>
      </c>
      <c r="K46" s="3"/>
      <c r="L46" s="8">
        <f t="shared" si="6"/>
        <v>3050.1144500000009</v>
      </c>
      <c r="M46" s="3"/>
      <c r="N46" s="7">
        <f t="shared" si="7"/>
        <v>0.13097874071290103</v>
      </c>
      <c r="O46" s="12"/>
      <c r="P46" s="8">
        <v>514904.72</v>
      </c>
      <c r="Q46" s="3"/>
      <c r="R46" s="7">
        <f t="shared" si="8"/>
        <v>3.9230765777002498E-2</v>
      </c>
      <c r="S46" s="3"/>
      <c r="T46" s="8">
        <v>338168.3064</v>
      </c>
      <c r="U46" s="3"/>
      <c r="V46" s="7">
        <f t="shared" si="9"/>
        <v>3.096070555275807E-2</v>
      </c>
      <c r="W46" s="3"/>
      <c r="X46" s="8">
        <f t="shared" si="10"/>
        <v>176736.41359999997</v>
      </c>
      <c r="Y46" s="3"/>
      <c r="Z46" s="7">
        <f t="shared" si="11"/>
        <v>0.52262855582612922</v>
      </c>
    </row>
    <row r="47" spans="1:26" s="70" customFormat="1" ht="15" hidden="1" customHeight="1" outlineLevel="2" x14ac:dyDescent="0.25">
      <c r="A47" s="25"/>
      <c r="B47" s="12" t="str">
        <f>CONCATENATE("          ","6006"," - ","TEMPORARY PART TIME")</f>
        <v xml:space="preserve">          6006 - TEMPORARY PART TIME</v>
      </c>
      <c r="C47" s="12"/>
      <c r="D47" s="8">
        <v>1994.5</v>
      </c>
      <c r="E47" s="3"/>
      <c r="F47" s="7">
        <f t="shared" si="4"/>
        <v>2.4670863529577631E-3</v>
      </c>
      <c r="G47" s="3"/>
      <c r="H47" s="8">
        <v>0</v>
      </c>
      <c r="I47" s="3"/>
      <c r="J47" s="7">
        <f t="shared" si="5"/>
        <v>0</v>
      </c>
      <c r="K47" s="3"/>
      <c r="L47" s="8">
        <f t="shared" si="6"/>
        <v>1994.5</v>
      </c>
      <c r="M47" s="3"/>
      <c r="N47" s="7">
        <f t="shared" si="7"/>
        <v>0</v>
      </c>
      <c r="O47" s="12"/>
      <c r="P47" s="8">
        <v>9198.2199999999993</v>
      </c>
      <c r="Q47" s="3"/>
      <c r="R47" s="7">
        <f t="shared" si="8"/>
        <v>7.0081551084895844E-4</v>
      </c>
      <c r="S47" s="3"/>
      <c r="T47" s="8">
        <v>0</v>
      </c>
      <c r="U47" s="3"/>
      <c r="V47" s="7">
        <f t="shared" si="9"/>
        <v>0</v>
      </c>
      <c r="W47" s="3"/>
      <c r="X47" s="8">
        <f t="shared" si="10"/>
        <v>9198.2199999999993</v>
      </c>
      <c r="Y47" s="3"/>
      <c r="Z47" s="7">
        <f t="shared" si="11"/>
        <v>0</v>
      </c>
    </row>
    <row r="48" spans="1:26" s="70" customFormat="1" ht="15" hidden="1" customHeight="1" outlineLevel="2" x14ac:dyDescent="0.25">
      <c r="A48" s="25"/>
      <c r="B48" s="12" t="str">
        <f>CONCATENATE("          ","6007"," - ","STUDENT HOURLY")</f>
        <v xml:space="preserve">          6007 - STUDENT HOURLY</v>
      </c>
      <c r="C48" s="12"/>
      <c r="D48" s="8">
        <v>55176.5</v>
      </c>
      <c r="E48" s="3"/>
      <c r="F48" s="7">
        <f t="shared" si="4"/>
        <v>6.8250283356216607E-2</v>
      </c>
      <c r="G48" s="3"/>
      <c r="H48" s="8">
        <v>1895.0555999999999</v>
      </c>
      <c r="I48" s="3"/>
      <c r="J48" s="7">
        <f t="shared" si="5"/>
        <v>2.2276007504266992E-3</v>
      </c>
      <c r="K48" s="3"/>
      <c r="L48" s="8">
        <f t="shared" si="6"/>
        <v>53281.4444</v>
      </c>
      <c r="M48" s="3"/>
      <c r="N48" s="7">
        <f t="shared" si="7"/>
        <v>28.116032268393603</v>
      </c>
      <c r="O48" s="12"/>
      <c r="P48" s="8">
        <v>736439.27</v>
      </c>
      <c r="Q48" s="3"/>
      <c r="R48" s="7">
        <f t="shared" si="8"/>
        <v>5.6109558503089081E-2</v>
      </c>
      <c r="S48" s="3"/>
      <c r="T48" s="8">
        <v>61713.597999999998</v>
      </c>
      <c r="U48" s="3"/>
      <c r="V48" s="7">
        <f t="shared" si="9"/>
        <v>5.6501348592355232E-3</v>
      </c>
      <c r="W48" s="3"/>
      <c r="X48" s="8">
        <f t="shared" si="10"/>
        <v>674725.67200000002</v>
      </c>
      <c r="Y48" s="3"/>
      <c r="Z48" s="7">
        <f t="shared" si="11"/>
        <v>10.933176704427444</v>
      </c>
    </row>
    <row r="49" spans="1:26" s="70" customFormat="1" ht="15" hidden="1" customHeight="1" outlineLevel="2" x14ac:dyDescent="0.25">
      <c r="A49" s="25"/>
      <c r="B49" s="12" t="str">
        <f>CONCATENATE("          ","6008"," - ","STUDENT HOURLY-FICA EXEMPT")</f>
        <v xml:space="preserve">          6008 - STUDENT HOURLY-FICA EXEMPT</v>
      </c>
      <c r="C49" s="12"/>
      <c r="D49" s="8">
        <v>20238.47</v>
      </c>
      <c r="E49" s="3"/>
      <c r="F49" s="7">
        <f t="shared" si="4"/>
        <v>2.5033869712582153E-2</v>
      </c>
      <c r="G49" s="3"/>
      <c r="H49" s="8">
        <v>84908.633650000003</v>
      </c>
      <c r="I49" s="3"/>
      <c r="J49" s="7">
        <f t="shared" si="5"/>
        <v>9.9808436246644011E-2</v>
      </c>
      <c r="K49" s="3"/>
      <c r="L49" s="8">
        <f t="shared" si="6"/>
        <v>-64670.163650000002</v>
      </c>
      <c r="M49" s="3"/>
      <c r="N49" s="7">
        <f t="shared" si="7"/>
        <v>-0.76164414465289187</v>
      </c>
      <c r="O49" s="12"/>
      <c r="P49" s="8">
        <v>250004.58</v>
      </c>
      <c r="Q49" s="3"/>
      <c r="R49" s="7">
        <f t="shared" si="8"/>
        <v>1.9047933996716677E-2</v>
      </c>
      <c r="S49" s="3"/>
      <c r="T49" s="8">
        <v>1124076.9328000001</v>
      </c>
      <c r="U49" s="3"/>
      <c r="V49" s="7">
        <f t="shared" si="9"/>
        <v>0.10291388718699931</v>
      </c>
      <c r="W49" s="3"/>
      <c r="X49" s="8">
        <f t="shared" si="10"/>
        <v>-874072.35280000011</v>
      </c>
      <c r="Y49" s="3"/>
      <c r="Z49" s="7">
        <f t="shared" si="11"/>
        <v>-0.77759121933295494</v>
      </c>
    </row>
    <row r="50" spans="1:26" s="70" customFormat="1" ht="15" hidden="1" customHeight="1" outlineLevel="2" x14ac:dyDescent="0.25">
      <c r="A50" s="25"/>
      <c r="B50" s="12" t="str">
        <f>CONCATENATE("          ","6009"," - ","TEMPORARY-SEASONAL")</f>
        <v xml:space="preserve">          6009 - TEMPORARY-SEASONAL</v>
      </c>
      <c r="C50" s="12"/>
      <c r="D50" s="8"/>
      <c r="E50" s="3"/>
      <c r="F50" s="7">
        <f t="shared" si="4"/>
        <v>0</v>
      </c>
      <c r="G50" s="3"/>
      <c r="H50" s="8">
        <v>0</v>
      </c>
      <c r="I50" s="3"/>
      <c r="J50" s="7">
        <f t="shared" si="5"/>
        <v>0</v>
      </c>
      <c r="K50" s="3"/>
      <c r="L50" s="8">
        <f t="shared" si="6"/>
        <v>0</v>
      </c>
      <c r="M50" s="3"/>
      <c r="N50" s="7">
        <f t="shared" si="7"/>
        <v>0</v>
      </c>
      <c r="O50" s="12"/>
      <c r="P50" s="8"/>
      <c r="Q50" s="3"/>
      <c r="R50" s="7">
        <f t="shared" si="8"/>
        <v>0</v>
      </c>
      <c r="S50" s="3"/>
      <c r="T50" s="8">
        <v>0</v>
      </c>
      <c r="U50" s="3"/>
      <c r="V50" s="7">
        <f t="shared" si="9"/>
        <v>0</v>
      </c>
      <c r="W50" s="3"/>
      <c r="X50" s="8">
        <f t="shared" si="10"/>
        <v>0</v>
      </c>
      <c r="Y50" s="3"/>
      <c r="Z50" s="7">
        <f t="shared" si="11"/>
        <v>0</v>
      </c>
    </row>
    <row r="51" spans="1:26" s="70" customFormat="1" ht="15" hidden="1" customHeight="1" outlineLevel="2" x14ac:dyDescent="0.25">
      <c r="A51" s="25"/>
      <c r="B51" s="12" t="str">
        <f>CONCATENATE("          ","6010"," - ","GRATUITY")</f>
        <v xml:space="preserve">          6010 - GRATUITY</v>
      </c>
      <c r="C51" s="12"/>
      <c r="D51" s="8"/>
      <c r="E51" s="3"/>
      <c r="F51" s="7">
        <f t="shared" si="4"/>
        <v>0</v>
      </c>
      <c r="G51" s="3"/>
      <c r="H51" s="8">
        <v>0</v>
      </c>
      <c r="I51" s="3"/>
      <c r="J51" s="7">
        <f t="shared" si="5"/>
        <v>0</v>
      </c>
      <c r="K51" s="3"/>
      <c r="L51" s="8">
        <f t="shared" si="6"/>
        <v>0</v>
      </c>
      <c r="M51" s="3"/>
      <c r="N51" s="7">
        <f t="shared" si="7"/>
        <v>0</v>
      </c>
      <c r="O51" s="12"/>
      <c r="P51" s="8"/>
      <c r="Q51" s="3"/>
      <c r="R51" s="7">
        <f t="shared" si="8"/>
        <v>0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0</v>
      </c>
      <c r="Y51" s="3"/>
      <c r="Z51" s="7">
        <f t="shared" si="11"/>
        <v>0</v>
      </c>
    </row>
    <row r="52" spans="1:26" s="69" customFormat="1" ht="15" customHeight="1" outlineLevel="1" collapsed="1" x14ac:dyDescent="0.25">
      <c r="A52" s="26"/>
      <c r="B52" s="14" t="str">
        <f>CONCATENATE("     ","Advertising/Promo                                 ")</f>
        <v xml:space="preserve">     Advertising/Promo                                 </v>
      </c>
      <c r="C52" s="14"/>
      <c r="D52" s="2">
        <f>SUM(OSRRefD22_2x_0)</f>
        <v>1403.58</v>
      </c>
      <c r="E52" s="2"/>
      <c r="F52" s="6">
        <f t="shared" si="4"/>
        <v>1.7361509467457793E-3</v>
      </c>
      <c r="G52" s="2"/>
      <c r="H52" s="2">
        <f>SUM(OSRRefH22_2x_0)</f>
        <v>1319</v>
      </c>
      <c r="I52" s="2"/>
      <c r="J52" s="6">
        <f t="shared" si="5"/>
        <v>1.5504586724594343E-3</v>
      </c>
      <c r="K52" s="2"/>
      <c r="L52" s="2">
        <f t="shared" si="6"/>
        <v>84.579999999999927</v>
      </c>
      <c r="M52" s="2"/>
      <c r="N52" s="6">
        <f t="shared" si="7"/>
        <v>6.412433661865044E-2</v>
      </c>
      <c r="O52" s="14"/>
      <c r="P52" s="2">
        <f>SUM(OSRRefP22_2x_0)</f>
        <v>7383</v>
      </c>
      <c r="Q52" s="2"/>
      <c r="R52" s="6">
        <f t="shared" si="8"/>
        <v>5.62513281547719E-4</v>
      </c>
      <c r="S52" s="2"/>
      <c r="T52" s="2">
        <f>SUM(OSRRefT22_2x_0)</f>
        <v>14509</v>
      </c>
      <c r="U52" s="2"/>
      <c r="V52" s="6">
        <f t="shared" si="9"/>
        <v>1.3283588921950103E-3</v>
      </c>
      <c r="W52" s="2"/>
      <c r="X52" s="2">
        <f t="shared" si="10"/>
        <v>-7126</v>
      </c>
      <c r="Y52" s="2"/>
      <c r="Z52" s="6">
        <f t="shared" si="11"/>
        <v>-0.49114342821696877</v>
      </c>
    </row>
    <row r="53" spans="1:26" s="70" customFormat="1" ht="15" hidden="1" customHeight="1" outlineLevel="2" x14ac:dyDescent="0.25">
      <c r="A53" s="25"/>
      <c r="B53" s="12" t="str">
        <f>CONCATENATE("          ","6362"," - ","ADVERTISING EXPENSE")</f>
        <v xml:space="preserve">          6362 - ADVERTISING EXPENSE</v>
      </c>
      <c r="C53" s="12"/>
      <c r="D53" s="8">
        <v>1403.58</v>
      </c>
      <c r="E53" s="3"/>
      <c r="F53" s="7">
        <f t="shared" si="4"/>
        <v>1.7361509467457793E-3</v>
      </c>
      <c r="G53" s="3"/>
      <c r="H53" s="8">
        <v>1319</v>
      </c>
      <c r="I53" s="3"/>
      <c r="J53" s="7">
        <f t="shared" si="5"/>
        <v>1.5504586724594343E-3</v>
      </c>
      <c r="K53" s="3"/>
      <c r="L53" s="8">
        <f t="shared" si="6"/>
        <v>84.579999999999927</v>
      </c>
      <c r="M53" s="3"/>
      <c r="N53" s="7">
        <f t="shared" si="7"/>
        <v>6.412433661865044E-2</v>
      </c>
      <c r="O53" s="12"/>
      <c r="P53" s="8">
        <v>7383</v>
      </c>
      <c r="Q53" s="3"/>
      <c r="R53" s="7">
        <f t="shared" si="8"/>
        <v>5.62513281547719E-4</v>
      </c>
      <c r="S53" s="3"/>
      <c r="T53" s="8">
        <v>14509</v>
      </c>
      <c r="U53" s="3"/>
      <c r="V53" s="7">
        <f t="shared" si="9"/>
        <v>1.3283588921950103E-3</v>
      </c>
      <c r="W53" s="3"/>
      <c r="X53" s="8">
        <f t="shared" si="10"/>
        <v>-7126</v>
      </c>
      <c r="Y53" s="3"/>
      <c r="Z53" s="7">
        <f t="shared" si="11"/>
        <v>-0.49114342821696877</v>
      </c>
    </row>
    <row r="54" spans="1:26" s="69" customFormat="1" ht="15" customHeight="1" outlineLevel="1" collapsed="1" x14ac:dyDescent="0.25">
      <c r="A54" s="26"/>
      <c r="B54" s="14" t="str">
        <f>CONCATENATE("     ","Bad Debts/Over/Short                              ")</f>
        <v xml:space="preserve">     Bad Debts/Over/Short                              </v>
      </c>
      <c r="C54" s="14"/>
      <c r="D54" s="2">
        <f>SUM(OSRRefD22_3x_0)</f>
        <v>8.51</v>
      </c>
      <c r="E54" s="2"/>
      <c r="F54" s="6">
        <f t="shared" si="4"/>
        <v>1.0526400031923071E-5</v>
      </c>
      <c r="G54" s="2"/>
      <c r="H54" s="2">
        <f>SUM(OSRRefH22_3x_0)</f>
        <v>33</v>
      </c>
      <c r="I54" s="2"/>
      <c r="J54" s="6">
        <f t="shared" si="5"/>
        <v>3.8790853821957031E-5</v>
      </c>
      <c r="K54" s="2"/>
      <c r="L54" s="2">
        <f t="shared" si="6"/>
        <v>-24.490000000000002</v>
      </c>
      <c r="M54" s="2"/>
      <c r="N54" s="6">
        <f t="shared" si="7"/>
        <v>-0.74212121212121218</v>
      </c>
      <c r="O54" s="14"/>
      <c r="P54" s="2">
        <f>SUM(OSRRefP22_3x_0)</f>
        <v>-26.21</v>
      </c>
      <c r="Q54" s="2"/>
      <c r="R54" s="6">
        <f t="shared" si="8"/>
        <v>-1.9969488161134655E-6</v>
      </c>
      <c r="S54" s="2"/>
      <c r="T54" s="2">
        <f>SUM(OSRRefT22_3x_0)</f>
        <v>415</v>
      </c>
      <c r="U54" s="2"/>
      <c r="V54" s="6">
        <f t="shared" si="9"/>
        <v>3.7994964522774091E-5</v>
      </c>
      <c r="W54" s="2"/>
      <c r="X54" s="2">
        <f t="shared" si="10"/>
        <v>-441.21</v>
      </c>
      <c r="Y54" s="2"/>
      <c r="Z54" s="6">
        <f t="shared" si="11"/>
        <v>-1.0631566265060239</v>
      </c>
    </row>
    <row r="55" spans="1:26" s="70" customFormat="1" ht="15" hidden="1" customHeight="1" outlineLevel="2" x14ac:dyDescent="0.25">
      <c r="A55" s="25"/>
      <c r="B55" s="12" t="str">
        <f>CONCATENATE("          ","6272"," - ","CASH (OVER/SHORT)")</f>
        <v xml:space="preserve">          6272 - CASH (OVER/SHORT)</v>
      </c>
      <c r="C55" s="12"/>
      <c r="D55" s="8">
        <v>8.51</v>
      </c>
      <c r="E55" s="3"/>
      <c r="F55" s="7">
        <f t="shared" si="4"/>
        <v>1.0526400031923071E-5</v>
      </c>
      <c r="G55" s="3"/>
      <c r="H55" s="8">
        <v>33</v>
      </c>
      <c r="I55" s="3"/>
      <c r="J55" s="7">
        <f t="shared" si="5"/>
        <v>3.8790853821957031E-5</v>
      </c>
      <c r="K55" s="3"/>
      <c r="L55" s="8">
        <f t="shared" si="6"/>
        <v>-24.490000000000002</v>
      </c>
      <c r="M55" s="3"/>
      <c r="N55" s="7">
        <f t="shared" si="7"/>
        <v>-0.74212121212121218</v>
      </c>
      <c r="O55" s="12"/>
      <c r="P55" s="8">
        <v>-26.21</v>
      </c>
      <c r="Q55" s="3"/>
      <c r="R55" s="7">
        <f t="shared" si="8"/>
        <v>-1.9969488161134655E-6</v>
      </c>
      <c r="S55" s="3"/>
      <c r="T55" s="8">
        <v>415</v>
      </c>
      <c r="U55" s="3"/>
      <c r="V55" s="7">
        <f t="shared" si="9"/>
        <v>3.7994964522774091E-5</v>
      </c>
      <c r="W55" s="3"/>
      <c r="X55" s="8">
        <f t="shared" si="10"/>
        <v>-441.21</v>
      </c>
      <c r="Y55" s="3"/>
      <c r="Z55" s="7">
        <f t="shared" si="11"/>
        <v>-1.0631566265060239</v>
      </c>
    </row>
    <row r="56" spans="1:26" s="69" customFormat="1" ht="15" customHeight="1" outlineLevel="1" collapsed="1" x14ac:dyDescent="0.25">
      <c r="A56" s="26"/>
      <c r="B56" s="14" t="str">
        <f>CONCATENATE("     ","Bank/card Fees                                    ")</f>
        <v xml:space="preserve">     Bank/card Fees                                    </v>
      </c>
      <c r="C56" s="14"/>
      <c r="D56" s="2">
        <f>SUM(OSRRefD22_4x_0)</f>
        <v>7316.44</v>
      </c>
      <c r="E56" s="2"/>
      <c r="F56" s="6">
        <f t="shared" si="4"/>
        <v>9.0500322267406848E-3</v>
      </c>
      <c r="G56" s="2"/>
      <c r="H56" s="2">
        <f>SUM(OSRRefH22_4x_0)</f>
        <v>11727</v>
      </c>
      <c r="I56" s="2"/>
      <c r="J56" s="6">
        <f t="shared" si="5"/>
        <v>1.3784858871820913E-2</v>
      </c>
      <c r="K56" s="2"/>
      <c r="L56" s="2">
        <f t="shared" si="6"/>
        <v>-4410.5600000000004</v>
      </c>
      <c r="M56" s="2"/>
      <c r="N56" s="6">
        <f t="shared" si="7"/>
        <v>-0.37610301014752284</v>
      </c>
      <c r="O56" s="14"/>
      <c r="P56" s="2">
        <f>SUM(OSRRefP22_4x_0)</f>
        <v>54735.66</v>
      </c>
      <c r="Q56" s="2"/>
      <c r="R56" s="6">
        <f t="shared" si="8"/>
        <v>4.1703285553677675E-3</v>
      </c>
      <c r="S56" s="2"/>
      <c r="T56" s="2">
        <f>SUM(OSRRefT22_4x_0)</f>
        <v>101474</v>
      </c>
      <c r="U56" s="2"/>
      <c r="V56" s="6">
        <f t="shared" si="9"/>
        <v>9.290363927672237E-3</v>
      </c>
      <c r="W56" s="2"/>
      <c r="X56" s="2">
        <f t="shared" si="10"/>
        <v>-46738.34</v>
      </c>
      <c r="Y56" s="2"/>
      <c r="Z56" s="6">
        <f t="shared" si="11"/>
        <v>-0.46059424088929179</v>
      </c>
    </row>
    <row r="57" spans="1:26" s="70" customFormat="1" ht="15" hidden="1" customHeight="1" outlineLevel="2" x14ac:dyDescent="0.25">
      <c r="A57" s="25"/>
      <c r="B57" s="12" t="str">
        <f>CONCATENATE("          ","6381"," - ","BANK/CREDIT CARD FEES")</f>
        <v xml:space="preserve">          6381 - BANK/CREDIT CARD FEES</v>
      </c>
      <c r="C57" s="12"/>
      <c r="D57" s="8">
        <v>7316.44</v>
      </c>
      <c r="E57" s="3"/>
      <c r="F57" s="7">
        <f t="shared" si="4"/>
        <v>9.0500322267406848E-3</v>
      </c>
      <c r="G57" s="3"/>
      <c r="H57" s="8">
        <v>11727</v>
      </c>
      <c r="I57" s="3"/>
      <c r="J57" s="7">
        <f t="shared" si="5"/>
        <v>1.3784858871820913E-2</v>
      </c>
      <c r="K57" s="3"/>
      <c r="L57" s="8">
        <f t="shared" si="6"/>
        <v>-4410.5600000000004</v>
      </c>
      <c r="M57" s="3"/>
      <c r="N57" s="7">
        <f t="shared" si="7"/>
        <v>-0.37610301014752284</v>
      </c>
      <c r="O57" s="12"/>
      <c r="P57" s="8">
        <v>54735.66</v>
      </c>
      <c r="Q57" s="3"/>
      <c r="R57" s="7">
        <f t="shared" si="8"/>
        <v>4.1703285553677675E-3</v>
      </c>
      <c r="S57" s="3"/>
      <c r="T57" s="8">
        <v>101474</v>
      </c>
      <c r="U57" s="3"/>
      <c r="V57" s="7">
        <f t="shared" si="9"/>
        <v>9.290363927672237E-3</v>
      </c>
      <c r="W57" s="3"/>
      <c r="X57" s="8">
        <f t="shared" si="10"/>
        <v>-46738.34</v>
      </c>
      <c r="Y57" s="3"/>
      <c r="Z57" s="7">
        <f t="shared" si="11"/>
        <v>-0.46059424088929179</v>
      </c>
    </row>
    <row r="58" spans="1:26" s="69" customFormat="1" ht="15" customHeight="1" outlineLevel="1" collapsed="1" x14ac:dyDescent="0.25">
      <c r="A58" s="26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SUM(OSRRefD22_5x_0)</f>
        <v>37482.86</v>
      </c>
      <c r="E58" s="2"/>
      <c r="F58" s="6">
        <f t="shared" si="4"/>
        <v>4.6364227814402817E-2</v>
      </c>
      <c r="G58" s="2"/>
      <c r="H58" s="2">
        <f>SUM(OSRRefH22_5x_0)</f>
        <v>32694</v>
      </c>
      <c r="I58" s="2"/>
      <c r="J58" s="6">
        <f t="shared" si="5"/>
        <v>3.8431156813789794E-2</v>
      </c>
      <c r="K58" s="2"/>
      <c r="L58" s="2">
        <f t="shared" si="6"/>
        <v>4788.8600000000006</v>
      </c>
      <c r="M58" s="2"/>
      <c r="N58" s="6">
        <f t="shared" si="7"/>
        <v>0.14647519422524014</v>
      </c>
      <c r="O58" s="14"/>
      <c r="P58" s="2">
        <f>SUM(OSRRefP22_5x_0)</f>
        <v>375712.68</v>
      </c>
      <c r="Q58" s="2"/>
      <c r="R58" s="6">
        <f t="shared" si="8"/>
        <v>2.862567689907735E-2</v>
      </c>
      <c r="S58" s="2"/>
      <c r="T58" s="2">
        <f>SUM(OSRRefT22_5x_0)</f>
        <v>364322</v>
      </c>
      <c r="U58" s="2"/>
      <c r="V58" s="6">
        <f t="shared" si="9"/>
        <v>3.33551842526894E-2</v>
      </c>
      <c r="W58" s="2"/>
      <c r="X58" s="2">
        <f t="shared" si="10"/>
        <v>11390.679999999993</v>
      </c>
      <c r="Y58" s="2"/>
      <c r="Z58" s="6">
        <f t="shared" si="11"/>
        <v>3.1265419052376724E-2</v>
      </c>
    </row>
    <row r="59" spans="1:26" s="70" customFormat="1" ht="15" hidden="1" customHeight="1" outlineLevel="2" x14ac:dyDescent="0.25">
      <c r="A59" s="25"/>
      <c r="B59" s="12" t="str">
        <f>CONCATENATE("          ","6321"," - ","BUILDING DEPRECIATION")</f>
        <v xml:space="preserve">          6321 - BUILDING DEPRECIATION</v>
      </c>
      <c r="C59" s="12"/>
      <c r="D59" s="8">
        <v>23539.4</v>
      </c>
      <c r="E59" s="3"/>
      <c r="F59" s="7">
        <f t="shared" si="4"/>
        <v>2.9116937827432424E-2</v>
      </c>
      <c r="G59" s="3"/>
      <c r="H59" s="8"/>
      <c r="I59" s="3"/>
      <c r="J59" s="7">
        <f t="shared" si="5"/>
        <v>0</v>
      </c>
      <c r="K59" s="3"/>
      <c r="L59" s="8">
        <f t="shared" si="6"/>
        <v>23539.4</v>
      </c>
      <c r="M59" s="3"/>
      <c r="N59" s="7">
        <f t="shared" si="7"/>
        <v>0</v>
      </c>
      <c r="O59" s="12"/>
      <c r="P59" s="8">
        <v>259021.54</v>
      </c>
      <c r="Q59" s="3"/>
      <c r="R59" s="7">
        <f t="shared" si="8"/>
        <v>1.9734939246504643E-2</v>
      </c>
      <c r="S59" s="3"/>
      <c r="T59" s="8"/>
      <c r="U59" s="3"/>
      <c r="V59" s="7">
        <f t="shared" si="9"/>
        <v>0</v>
      </c>
      <c r="W59" s="3"/>
      <c r="X59" s="8">
        <f t="shared" si="10"/>
        <v>259021.54</v>
      </c>
      <c r="Y59" s="3"/>
      <c r="Z59" s="7">
        <f t="shared" si="11"/>
        <v>0</v>
      </c>
    </row>
    <row r="60" spans="1:26" s="70" customFormat="1" ht="15" hidden="1" customHeight="1" outlineLevel="2" x14ac:dyDescent="0.25">
      <c r="A60" s="25"/>
      <c r="B60" s="12" t="str">
        <f>CONCATENATE("          ","6322"," - ","EQUIPMENT DEPRECIATION EXPENSE")</f>
        <v xml:space="preserve">          6322 - EQUIPMENT DEPRECIATION EXPENSE</v>
      </c>
      <c r="C60" s="12"/>
      <c r="D60" s="8">
        <v>13943.46</v>
      </c>
      <c r="E60" s="3"/>
      <c r="F60" s="7">
        <f t="shared" si="4"/>
        <v>1.7247289986970393E-2</v>
      </c>
      <c r="G60" s="3"/>
      <c r="H60" s="8">
        <v>32694</v>
      </c>
      <c r="I60" s="3"/>
      <c r="J60" s="7">
        <f t="shared" si="5"/>
        <v>3.8431156813789794E-2</v>
      </c>
      <c r="K60" s="3"/>
      <c r="L60" s="8">
        <f t="shared" si="6"/>
        <v>-18750.54</v>
      </c>
      <c r="M60" s="3"/>
      <c r="N60" s="7">
        <f t="shared" si="7"/>
        <v>-0.57351624151220415</v>
      </c>
      <c r="O60" s="12"/>
      <c r="P60" s="8">
        <v>116691.14</v>
      </c>
      <c r="Q60" s="3"/>
      <c r="R60" s="7">
        <f t="shared" si="8"/>
        <v>8.8907376525727069E-3</v>
      </c>
      <c r="S60" s="3"/>
      <c r="T60" s="8">
        <v>364322</v>
      </c>
      <c r="U60" s="3"/>
      <c r="V60" s="7">
        <f t="shared" si="9"/>
        <v>3.33551842526894E-2</v>
      </c>
      <c r="W60" s="3"/>
      <c r="X60" s="8">
        <f t="shared" si="10"/>
        <v>-247630.86</v>
      </c>
      <c r="Y60" s="3"/>
      <c r="Z60" s="7">
        <f t="shared" si="11"/>
        <v>-0.679703284457156</v>
      </c>
    </row>
    <row r="61" spans="1:26" s="69" customFormat="1" ht="15" customHeight="1" outlineLevel="1" collapsed="1" x14ac:dyDescent="0.25">
      <c r="A61" s="26"/>
      <c r="B61" s="14" t="str">
        <f>CONCATENATE("     ","Donations                                         ")</f>
        <v xml:space="preserve">     Donations                                         </v>
      </c>
      <c r="C61" s="14"/>
      <c r="D61" s="2">
        <f>SUM(OSRRefD22_6x_0)</f>
        <v>3862.46</v>
      </c>
      <c r="E61" s="2"/>
      <c r="F61" s="6">
        <f t="shared" ref="F61:F92" si="12">IF(D$12=0,0,D61/D$12)</f>
        <v>4.7776497141364966E-3</v>
      </c>
      <c r="G61" s="2"/>
      <c r="H61" s="2">
        <f>SUM(OSRRefH22_6x_0)</f>
        <v>15500</v>
      </c>
      <c r="I61" s="2"/>
      <c r="J61" s="6">
        <f t="shared" ref="J61:J92" si="13">IF(H$12=0,0,H61/H$12)</f>
        <v>1.8219946492131333E-2</v>
      </c>
      <c r="K61" s="2"/>
      <c r="L61" s="2">
        <f t="shared" ref="L61:L92" si="14">+D61-H61</f>
        <v>-11637.54</v>
      </c>
      <c r="M61" s="2"/>
      <c r="N61" s="6">
        <f t="shared" ref="N61:N92" si="15">IF(H61=0,0,L61/H61)</f>
        <v>-0.75080903225806461</v>
      </c>
      <c r="O61" s="14"/>
      <c r="P61" s="2">
        <f>SUM(OSRRefP22_6x_0)</f>
        <v>70553.73</v>
      </c>
      <c r="Q61" s="2"/>
      <c r="R61" s="6">
        <f t="shared" ref="R61:R92" si="16">IF(P$12=0,0,P61/P$12)</f>
        <v>5.3755126896562035E-3</v>
      </c>
      <c r="S61" s="2"/>
      <c r="T61" s="2">
        <f>SUM(OSRRefT22_6x_0)</f>
        <v>155000</v>
      </c>
      <c r="U61" s="2"/>
      <c r="V61" s="6">
        <f t="shared" ref="V61:V92" si="17">IF(T$12=0,0,T61/T$12)</f>
        <v>1.4190890363927672E-2</v>
      </c>
      <c r="W61" s="2"/>
      <c r="X61" s="2">
        <f t="shared" ref="X61:X92" si="18">+P61-T61</f>
        <v>-84446.27</v>
      </c>
      <c r="Y61" s="2"/>
      <c r="Z61" s="6">
        <f t="shared" ref="Z61:Z92" si="19">IF(T61=0,0,X61/T61)</f>
        <v>-0.5448146451612903</v>
      </c>
    </row>
    <row r="62" spans="1:26" s="70" customFormat="1" ht="15" hidden="1" customHeight="1" outlineLevel="2" x14ac:dyDescent="0.25">
      <c r="A62" s="25"/>
      <c r="B62" s="12" t="str">
        <f>CONCATENATE("          ","6399"," - ","DONATION-ON CAMPUS")</f>
        <v xml:space="preserve">          6399 - DONATION-ON CAMPUS</v>
      </c>
      <c r="C62" s="12"/>
      <c r="D62" s="8">
        <v>3862.46</v>
      </c>
      <c r="E62" s="3"/>
      <c r="F62" s="7">
        <f t="shared" si="12"/>
        <v>4.7776497141364966E-3</v>
      </c>
      <c r="G62" s="3"/>
      <c r="H62" s="8">
        <v>15500</v>
      </c>
      <c r="I62" s="3"/>
      <c r="J62" s="7">
        <f t="shared" si="13"/>
        <v>1.8219946492131333E-2</v>
      </c>
      <c r="K62" s="3"/>
      <c r="L62" s="8">
        <f t="shared" si="14"/>
        <v>-11637.54</v>
      </c>
      <c r="M62" s="3"/>
      <c r="N62" s="7">
        <f t="shared" si="15"/>
        <v>-0.75080903225806461</v>
      </c>
      <c r="O62" s="12"/>
      <c r="P62" s="8">
        <v>70553.73</v>
      </c>
      <c r="Q62" s="3"/>
      <c r="R62" s="7">
        <f t="shared" si="16"/>
        <v>5.3755126896562035E-3</v>
      </c>
      <c r="S62" s="3"/>
      <c r="T62" s="8">
        <v>155000</v>
      </c>
      <c r="U62" s="3"/>
      <c r="V62" s="7">
        <f t="shared" si="17"/>
        <v>1.4190890363927672E-2</v>
      </c>
      <c r="W62" s="3"/>
      <c r="X62" s="8">
        <f t="shared" si="18"/>
        <v>-84446.27</v>
      </c>
      <c r="Y62" s="3"/>
      <c r="Z62" s="7">
        <f t="shared" si="19"/>
        <v>-0.5448146451612903</v>
      </c>
    </row>
    <row r="63" spans="1:26" s="69" customFormat="1" ht="15" customHeight="1" outlineLevel="1" collapsed="1" x14ac:dyDescent="0.25">
      <c r="A63" s="26"/>
      <c r="B63" s="14" t="str">
        <f>CONCATENATE("     ","Employees' Appreciation                           ")</f>
        <v xml:space="preserve">     Employees' Appreciation                           </v>
      </c>
      <c r="C63" s="14"/>
      <c r="D63" s="2">
        <f>SUM(OSRRefD22_7x_0)</f>
        <v>0</v>
      </c>
      <c r="E63" s="2"/>
      <c r="F63" s="6">
        <f t="shared" si="12"/>
        <v>0</v>
      </c>
      <c r="G63" s="2"/>
      <c r="H63" s="2">
        <f>SUM(OSRRefH22_7x_0)</f>
        <v>490</v>
      </c>
      <c r="I63" s="2"/>
      <c r="J63" s="6">
        <f t="shared" si="13"/>
        <v>5.7598540523511954E-4</v>
      </c>
      <c r="K63" s="2"/>
      <c r="L63" s="2">
        <f t="shared" si="14"/>
        <v>-490</v>
      </c>
      <c r="M63" s="2"/>
      <c r="N63" s="6">
        <f t="shared" si="15"/>
        <v>-1</v>
      </c>
      <c r="O63" s="14"/>
      <c r="P63" s="2">
        <f>SUM(OSRRefP22_7x_0)</f>
        <v>702.03</v>
      </c>
      <c r="Q63" s="2"/>
      <c r="R63" s="6">
        <f t="shared" si="16"/>
        <v>5.3487904516449301E-5</v>
      </c>
      <c r="S63" s="2"/>
      <c r="T63" s="2">
        <f>SUM(OSRRefT22_7x_0)</f>
        <v>3280</v>
      </c>
      <c r="U63" s="2"/>
      <c r="V63" s="6">
        <f t="shared" si="17"/>
        <v>3.0029755092698561E-4</v>
      </c>
      <c r="W63" s="2"/>
      <c r="X63" s="2">
        <f t="shared" si="18"/>
        <v>-2577.9700000000003</v>
      </c>
      <c r="Y63" s="2"/>
      <c r="Z63" s="6">
        <f t="shared" si="19"/>
        <v>-0.78596646341463428</v>
      </c>
    </row>
    <row r="64" spans="1:26" s="70" customFormat="1" ht="15" hidden="1" customHeight="1" outlineLevel="2" x14ac:dyDescent="0.25">
      <c r="A64" s="25"/>
      <c r="B64" s="12" t="str">
        <f>CONCATENATE("          ","6277"," - ","EMPLOYEE APPRECIATION")</f>
        <v xml:space="preserve">          6277 - EMPLOYEE APPRECIATION</v>
      </c>
      <c r="C64" s="12"/>
      <c r="D64" s="8"/>
      <c r="E64" s="3"/>
      <c r="F64" s="7">
        <f t="shared" si="12"/>
        <v>0</v>
      </c>
      <c r="G64" s="3"/>
      <c r="H64" s="8">
        <v>490</v>
      </c>
      <c r="I64" s="3"/>
      <c r="J64" s="7">
        <f t="shared" si="13"/>
        <v>5.7598540523511954E-4</v>
      </c>
      <c r="K64" s="3"/>
      <c r="L64" s="8">
        <f t="shared" si="14"/>
        <v>-490</v>
      </c>
      <c r="M64" s="3"/>
      <c r="N64" s="7">
        <f t="shared" si="15"/>
        <v>-1</v>
      </c>
      <c r="O64" s="12"/>
      <c r="P64" s="8">
        <v>702.03</v>
      </c>
      <c r="Q64" s="3"/>
      <c r="R64" s="7">
        <f t="shared" si="16"/>
        <v>5.3487904516449301E-5</v>
      </c>
      <c r="S64" s="3"/>
      <c r="T64" s="8">
        <v>3280</v>
      </c>
      <c r="U64" s="3"/>
      <c r="V64" s="7">
        <f t="shared" si="17"/>
        <v>3.0029755092698561E-4</v>
      </c>
      <c r="W64" s="3"/>
      <c r="X64" s="8">
        <f t="shared" si="18"/>
        <v>-2577.9700000000003</v>
      </c>
      <c r="Y64" s="3"/>
      <c r="Z64" s="7">
        <f t="shared" si="19"/>
        <v>-0.78596646341463428</v>
      </c>
    </row>
    <row r="65" spans="1:26" s="69" customFormat="1" ht="15" customHeight="1" outlineLevel="1" collapsed="1" x14ac:dyDescent="0.25">
      <c r="A65" s="26"/>
      <c r="B65" s="14" t="str">
        <f>CONCATENATE("     ","Equipment Rental                                  ")</f>
        <v xml:space="preserve">     Equipment Rental                                  </v>
      </c>
      <c r="C65" s="14"/>
      <c r="D65" s="2">
        <f>SUM(OSRRefD22_8x_0)</f>
        <v>1394.71</v>
      </c>
      <c r="E65" s="2"/>
      <c r="F65" s="6">
        <f t="shared" si="12"/>
        <v>1.7251792465949971E-3</v>
      </c>
      <c r="G65" s="2"/>
      <c r="H65" s="2">
        <f>SUM(OSRRefH22_8x_0)</f>
        <v>1570</v>
      </c>
      <c r="I65" s="2"/>
      <c r="J65" s="6">
        <f t="shared" si="13"/>
        <v>1.8455042575900771E-3</v>
      </c>
      <c r="K65" s="2"/>
      <c r="L65" s="2">
        <f t="shared" si="14"/>
        <v>-175.28999999999996</v>
      </c>
      <c r="M65" s="2"/>
      <c r="N65" s="6">
        <f t="shared" si="15"/>
        <v>-0.11164968152866239</v>
      </c>
      <c r="O65" s="14"/>
      <c r="P65" s="2">
        <f>SUM(OSRRefP22_8x_0)</f>
        <v>22193.31</v>
      </c>
      <c r="Q65" s="2"/>
      <c r="R65" s="6">
        <f t="shared" si="16"/>
        <v>1.6909158386165257E-3</v>
      </c>
      <c r="S65" s="2"/>
      <c r="T65" s="2">
        <f>SUM(OSRRefT22_8x_0)</f>
        <v>17270</v>
      </c>
      <c r="U65" s="2"/>
      <c r="V65" s="6">
        <f t="shared" si="17"/>
        <v>1.5811398489356833E-3</v>
      </c>
      <c r="W65" s="2"/>
      <c r="X65" s="2">
        <f t="shared" si="18"/>
        <v>4923.3100000000013</v>
      </c>
      <c r="Y65" s="2"/>
      <c r="Z65" s="6">
        <f t="shared" si="19"/>
        <v>0.28507874927620158</v>
      </c>
    </row>
    <row r="66" spans="1:26" s="70" customFormat="1" ht="15" hidden="1" customHeight="1" outlineLevel="2" x14ac:dyDescent="0.25">
      <c r="A66" s="25"/>
      <c r="B66" s="12" t="str">
        <f>CONCATENATE("          ","6351"," - ","EQUIPMENT RENTAL")</f>
        <v xml:space="preserve">          6351 - EQUIPMENT RENTAL</v>
      </c>
      <c r="C66" s="12"/>
      <c r="D66" s="8">
        <v>1394.71</v>
      </c>
      <c r="E66" s="3"/>
      <c r="F66" s="7">
        <f t="shared" si="12"/>
        <v>1.7251792465949971E-3</v>
      </c>
      <c r="G66" s="3"/>
      <c r="H66" s="8">
        <v>1570</v>
      </c>
      <c r="I66" s="3"/>
      <c r="J66" s="7">
        <f t="shared" si="13"/>
        <v>1.8455042575900771E-3</v>
      </c>
      <c r="K66" s="3"/>
      <c r="L66" s="8">
        <f t="shared" si="14"/>
        <v>-175.28999999999996</v>
      </c>
      <c r="M66" s="3"/>
      <c r="N66" s="7">
        <f t="shared" si="15"/>
        <v>-0.11164968152866239</v>
      </c>
      <c r="O66" s="12"/>
      <c r="P66" s="8">
        <v>22193.31</v>
      </c>
      <c r="Q66" s="3"/>
      <c r="R66" s="7">
        <f t="shared" si="16"/>
        <v>1.6909158386165257E-3</v>
      </c>
      <c r="S66" s="3"/>
      <c r="T66" s="8">
        <v>17270</v>
      </c>
      <c r="U66" s="3"/>
      <c r="V66" s="7">
        <f t="shared" si="17"/>
        <v>1.5811398489356833E-3</v>
      </c>
      <c r="W66" s="3"/>
      <c r="X66" s="8">
        <f t="shared" si="18"/>
        <v>4923.3100000000013</v>
      </c>
      <c r="Y66" s="3"/>
      <c r="Z66" s="7">
        <f t="shared" si="19"/>
        <v>0.28507874927620158</v>
      </c>
    </row>
    <row r="67" spans="1:26" s="69" customFormat="1" ht="15" customHeight="1" outlineLevel="1" collapsed="1" x14ac:dyDescent="0.25">
      <c r="A67" s="26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SUM(OSRRefD22_9x_0)</f>
        <v>27357.64</v>
      </c>
      <c r="E67" s="2"/>
      <c r="F67" s="6">
        <f t="shared" si="12"/>
        <v>3.3839889843635708E-2</v>
      </c>
      <c r="G67" s="2"/>
      <c r="H67" s="2">
        <f>SUM(OSRRefH22_9x_0)</f>
        <v>540</v>
      </c>
      <c r="I67" s="2"/>
      <c r="J67" s="6">
        <f t="shared" si="13"/>
        <v>6.3475942617747876E-4</v>
      </c>
      <c r="K67" s="2"/>
      <c r="L67" s="2">
        <f t="shared" si="14"/>
        <v>26817.64</v>
      </c>
      <c r="M67" s="2"/>
      <c r="N67" s="6">
        <f t="shared" si="15"/>
        <v>49.662296296296297</v>
      </c>
      <c r="O67" s="14"/>
      <c r="P67" s="2">
        <f>SUM(OSRRefP22_9x_0)</f>
        <v>66500.990000000005</v>
      </c>
      <c r="Q67" s="2"/>
      <c r="R67" s="6">
        <f t="shared" si="16"/>
        <v>5.0667330503957808E-3</v>
      </c>
      <c r="S67" s="2"/>
      <c r="T67" s="2">
        <f>SUM(OSRRefT22_9x_0)</f>
        <v>17100</v>
      </c>
      <c r="U67" s="2"/>
      <c r="V67" s="6">
        <f t="shared" si="17"/>
        <v>1.5655756466010529E-3</v>
      </c>
      <c r="W67" s="2"/>
      <c r="X67" s="2">
        <f t="shared" si="18"/>
        <v>49400.990000000005</v>
      </c>
      <c r="Y67" s="2"/>
      <c r="Z67" s="6">
        <f t="shared" si="19"/>
        <v>2.8889467836257312</v>
      </c>
    </row>
    <row r="68" spans="1:26" s="70" customFormat="1" ht="15" hidden="1" customHeight="1" outlineLevel="2" x14ac:dyDescent="0.25">
      <c r="A68" s="25"/>
      <c r="B68" s="12" t="str">
        <f>CONCATENATE("          ","6269"," - ","ENTERTAINMENT")</f>
        <v xml:space="preserve">          6269 - ENTERTAINMENT</v>
      </c>
      <c r="C68" s="12"/>
      <c r="D68" s="8"/>
      <c r="E68" s="3"/>
      <c r="F68" s="7">
        <f t="shared" si="12"/>
        <v>0</v>
      </c>
      <c r="G68" s="3"/>
      <c r="H68" s="8"/>
      <c r="I68" s="3"/>
      <c r="J68" s="7">
        <f t="shared" si="13"/>
        <v>0</v>
      </c>
      <c r="K68" s="3"/>
      <c r="L68" s="8">
        <f t="shared" si="14"/>
        <v>0</v>
      </c>
      <c r="M68" s="3"/>
      <c r="N68" s="7">
        <f t="shared" si="15"/>
        <v>0</v>
      </c>
      <c r="O68" s="12"/>
      <c r="P68" s="8"/>
      <c r="Q68" s="3"/>
      <c r="R68" s="7">
        <f t="shared" si="16"/>
        <v>0</v>
      </c>
      <c r="S68" s="3"/>
      <c r="T68" s="8">
        <v>500</v>
      </c>
      <c r="U68" s="3"/>
      <c r="V68" s="7">
        <f t="shared" si="17"/>
        <v>4.5777065690089265E-5</v>
      </c>
      <c r="W68" s="3"/>
      <c r="X68" s="8">
        <f t="shared" si="18"/>
        <v>-500</v>
      </c>
      <c r="Y68" s="3"/>
      <c r="Z68" s="7">
        <f t="shared" si="19"/>
        <v>-1</v>
      </c>
    </row>
    <row r="69" spans="1:26" s="70" customFormat="1" ht="15" hidden="1" customHeight="1" outlineLevel="2" x14ac:dyDescent="0.25">
      <c r="A69" s="25"/>
      <c r="B69" s="12" t="str">
        <f>CONCATENATE("          ","6279"," - ","GENERAL EXPENSE")</f>
        <v xml:space="preserve">          6279 - GENERAL EXPENSE</v>
      </c>
      <c r="C69" s="12"/>
      <c r="D69" s="8">
        <v>27357.64</v>
      </c>
      <c r="E69" s="3"/>
      <c r="F69" s="7">
        <f t="shared" si="12"/>
        <v>3.3839889843635708E-2</v>
      </c>
      <c r="G69" s="3"/>
      <c r="H69" s="8">
        <v>540</v>
      </c>
      <c r="I69" s="3"/>
      <c r="J69" s="7">
        <f t="shared" si="13"/>
        <v>6.3475942617747876E-4</v>
      </c>
      <c r="K69" s="3"/>
      <c r="L69" s="8">
        <f t="shared" si="14"/>
        <v>26817.64</v>
      </c>
      <c r="M69" s="3"/>
      <c r="N69" s="7">
        <f t="shared" si="15"/>
        <v>49.662296296296297</v>
      </c>
      <c r="O69" s="12"/>
      <c r="P69" s="8">
        <v>66500.990000000005</v>
      </c>
      <c r="Q69" s="3"/>
      <c r="R69" s="7">
        <f t="shared" si="16"/>
        <v>5.0667330503957808E-3</v>
      </c>
      <c r="S69" s="3"/>
      <c r="T69" s="8">
        <v>16600</v>
      </c>
      <c r="U69" s="3"/>
      <c r="V69" s="7">
        <f t="shared" si="17"/>
        <v>1.5197985809109636E-3</v>
      </c>
      <c r="W69" s="3"/>
      <c r="X69" s="8">
        <f t="shared" si="18"/>
        <v>49900.990000000005</v>
      </c>
      <c r="Y69" s="3"/>
      <c r="Z69" s="7">
        <f t="shared" si="19"/>
        <v>3.0060837349397596</v>
      </c>
    </row>
    <row r="70" spans="1:26" s="69" customFormat="1" ht="15" customHeight="1" outlineLevel="1" collapsed="1" x14ac:dyDescent="0.25">
      <c r="A70" s="26"/>
      <c r="B70" s="14" t="str">
        <f>CONCATENATE("     ","Insurance                                         ")</f>
        <v xml:space="preserve">     Insurance                                         </v>
      </c>
      <c r="C70" s="14"/>
      <c r="D70" s="2">
        <f>SUM(OSRRefD22_10x_0)</f>
        <v>5761.42</v>
      </c>
      <c r="E70" s="2"/>
      <c r="F70" s="6">
        <f t="shared" si="12"/>
        <v>7.1265583633281105E-3</v>
      </c>
      <c r="G70" s="2"/>
      <c r="H70" s="2">
        <f>SUM(OSRRefH22_10x_0)</f>
        <v>5680</v>
      </c>
      <c r="I70" s="2"/>
      <c r="J70" s="6">
        <f t="shared" si="13"/>
        <v>6.676728779051999E-3</v>
      </c>
      <c r="K70" s="2"/>
      <c r="L70" s="2">
        <f t="shared" si="14"/>
        <v>81.420000000000073</v>
      </c>
      <c r="M70" s="2"/>
      <c r="N70" s="6">
        <f t="shared" si="15"/>
        <v>1.4334507042253534E-2</v>
      </c>
      <c r="O70" s="14"/>
      <c r="P70" s="2">
        <f>SUM(OSRRefP22_10x_0)</f>
        <v>70258.63</v>
      </c>
      <c r="Q70" s="2"/>
      <c r="R70" s="6">
        <f t="shared" si="16"/>
        <v>5.3530289202691345E-3</v>
      </c>
      <c r="S70" s="2"/>
      <c r="T70" s="2">
        <f>SUM(OSRRefT22_10x_0)</f>
        <v>62480</v>
      </c>
      <c r="U70" s="2"/>
      <c r="V70" s="6">
        <f t="shared" si="17"/>
        <v>5.7203021286335544E-3</v>
      </c>
      <c r="W70" s="2"/>
      <c r="X70" s="2">
        <f t="shared" si="18"/>
        <v>7778.6300000000047</v>
      </c>
      <c r="Y70" s="2"/>
      <c r="Z70" s="6">
        <f t="shared" si="19"/>
        <v>0.12449791933418701</v>
      </c>
    </row>
    <row r="71" spans="1:26" s="70" customFormat="1" ht="15" hidden="1" customHeight="1" outlineLevel="2" x14ac:dyDescent="0.25">
      <c r="A71" s="25"/>
      <c r="B71" s="12" t="str">
        <f>CONCATENATE("          ","6314"," - ","LIABILITY INSURANCE")</f>
        <v xml:space="preserve">          6314 - LIABILITY INSURANCE</v>
      </c>
      <c r="C71" s="12"/>
      <c r="D71" s="8">
        <v>5761.42</v>
      </c>
      <c r="E71" s="3"/>
      <c r="F71" s="7">
        <f t="shared" si="12"/>
        <v>7.1265583633281105E-3</v>
      </c>
      <c r="G71" s="3"/>
      <c r="H71" s="8">
        <v>5680</v>
      </c>
      <c r="I71" s="3"/>
      <c r="J71" s="7">
        <f t="shared" si="13"/>
        <v>6.676728779051999E-3</v>
      </c>
      <c r="K71" s="3"/>
      <c r="L71" s="8">
        <f t="shared" si="14"/>
        <v>81.420000000000073</v>
      </c>
      <c r="M71" s="3"/>
      <c r="N71" s="7">
        <f t="shared" si="15"/>
        <v>1.4334507042253534E-2</v>
      </c>
      <c r="O71" s="12"/>
      <c r="P71" s="8">
        <v>70258.63</v>
      </c>
      <c r="Q71" s="3"/>
      <c r="R71" s="7">
        <f t="shared" si="16"/>
        <v>5.3530289202691345E-3</v>
      </c>
      <c r="S71" s="3"/>
      <c r="T71" s="8">
        <v>62480</v>
      </c>
      <c r="U71" s="3"/>
      <c r="V71" s="7">
        <f t="shared" si="17"/>
        <v>5.7203021286335544E-3</v>
      </c>
      <c r="W71" s="3"/>
      <c r="X71" s="8">
        <f t="shared" si="18"/>
        <v>7778.6300000000047</v>
      </c>
      <c r="Y71" s="3"/>
      <c r="Z71" s="7">
        <f t="shared" si="19"/>
        <v>0.12449791933418701</v>
      </c>
    </row>
    <row r="72" spans="1:26" s="69" customFormat="1" ht="15" customHeight="1" outlineLevel="1" collapsed="1" x14ac:dyDescent="0.25">
      <c r="A72" s="26"/>
      <c r="B72" s="14" t="str">
        <f>CONCATENATE("     ","Interest                                          ")</f>
        <v xml:space="preserve">     Interest                                          </v>
      </c>
      <c r="C72" s="14"/>
      <c r="D72" s="2">
        <f>SUM(OSRRefD22_11x_0)</f>
        <v>7253</v>
      </c>
      <c r="E72" s="2"/>
      <c r="F72" s="6">
        <f t="shared" si="12"/>
        <v>8.9715604502394863E-3</v>
      </c>
      <c r="G72" s="2"/>
      <c r="H72" s="2">
        <f>SUM(OSRRefH22_11x_0)</f>
        <v>6982</v>
      </c>
      <c r="I72" s="2"/>
      <c r="J72" s="6">
        <f t="shared" si="13"/>
        <v>8.2072042843910308E-3</v>
      </c>
      <c r="K72" s="2"/>
      <c r="L72" s="2">
        <f t="shared" si="14"/>
        <v>271</v>
      </c>
      <c r="M72" s="2"/>
      <c r="N72" s="6">
        <f t="shared" si="15"/>
        <v>3.8814093382984818E-2</v>
      </c>
      <c r="O72" s="14"/>
      <c r="P72" s="2">
        <f>SUM(OSRRefP22_11x_0)</f>
        <v>77645</v>
      </c>
      <c r="Q72" s="2"/>
      <c r="R72" s="6">
        <f t="shared" si="16"/>
        <v>5.9157989632632598E-3</v>
      </c>
      <c r="S72" s="2"/>
      <c r="T72" s="2">
        <f>SUM(OSRRefT22_11x_0)</f>
        <v>79512</v>
      </c>
      <c r="U72" s="2"/>
      <c r="V72" s="6">
        <f t="shared" si="17"/>
        <v>7.2796520943007557E-3</v>
      </c>
      <c r="W72" s="2"/>
      <c r="X72" s="2">
        <f t="shared" si="18"/>
        <v>-1867</v>
      </c>
      <c r="Y72" s="2"/>
      <c r="Z72" s="6">
        <f t="shared" si="19"/>
        <v>-2.3480732468055137E-2</v>
      </c>
    </row>
    <row r="73" spans="1:26" s="70" customFormat="1" ht="15" hidden="1" customHeight="1" outlineLevel="2" x14ac:dyDescent="0.25">
      <c r="A73" s="25"/>
      <c r="B73" s="12" t="str">
        <f>CONCATENATE("          ","6401"," - ","INTEREST EXPENSE")</f>
        <v xml:space="preserve">          6401 - INTEREST EXPENSE</v>
      </c>
      <c r="C73" s="12"/>
      <c r="D73" s="8">
        <v>7253</v>
      </c>
      <c r="E73" s="3"/>
      <c r="F73" s="7">
        <f t="shared" si="12"/>
        <v>8.9715604502394863E-3</v>
      </c>
      <c r="G73" s="3"/>
      <c r="H73" s="8">
        <v>6982</v>
      </c>
      <c r="I73" s="3"/>
      <c r="J73" s="7">
        <f t="shared" si="13"/>
        <v>8.2072042843910308E-3</v>
      </c>
      <c r="K73" s="3"/>
      <c r="L73" s="8">
        <f t="shared" si="14"/>
        <v>271</v>
      </c>
      <c r="M73" s="3"/>
      <c r="N73" s="7">
        <f t="shared" si="15"/>
        <v>3.8814093382984818E-2</v>
      </c>
      <c r="O73" s="12"/>
      <c r="P73" s="8">
        <v>77645</v>
      </c>
      <c r="Q73" s="3"/>
      <c r="R73" s="7">
        <f t="shared" si="16"/>
        <v>5.9157989632632598E-3</v>
      </c>
      <c r="S73" s="3"/>
      <c r="T73" s="8">
        <v>79512</v>
      </c>
      <c r="U73" s="3"/>
      <c r="V73" s="7">
        <f t="shared" si="17"/>
        <v>7.2796520943007557E-3</v>
      </c>
      <c r="W73" s="3"/>
      <c r="X73" s="8">
        <f t="shared" si="18"/>
        <v>-1867</v>
      </c>
      <c r="Y73" s="3"/>
      <c r="Z73" s="7">
        <f t="shared" si="19"/>
        <v>-2.3480732468055137E-2</v>
      </c>
    </row>
    <row r="74" spans="1:26" s="69" customFormat="1" ht="15" customHeight="1" outlineLevel="1" collapsed="1" x14ac:dyDescent="0.25">
      <c r="A74" s="26"/>
      <c r="B74" s="14" t="str">
        <f>CONCATENATE("     ","Professional Services                             ")</f>
        <v xml:space="preserve">     Professional Services                             </v>
      </c>
      <c r="C74" s="14"/>
      <c r="D74" s="2">
        <f>SUM(OSRRefD22_12x_0)</f>
        <v>511.58</v>
      </c>
      <c r="E74" s="2"/>
      <c r="F74" s="6">
        <f t="shared" si="12"/>
        <v>6.3279620779450104E-4</v>
      </c>
      <c r="G74" s="2"/>
      <c r="H74" s="2">
        <f>SUM(OSRRefH22_12x_0)</f>
        <v>0</v>
      </c>
      <c r="I74" s="2"/>
      <c r="J74" s="6">
        <f t="shared" si="13"/>
        <v>0</v>
      </c>
      <c r="K74" s="2"/>
      <c r="L74" s="2">
        <f t="shared" si="14"/>
        <v>511.58</v>
      </c>
      <c r="M74" s="2"/>
      <c r="N74" s="6">
        <f t="shared" si="15"/>
        <v>0</v>
      </c>
      <c r="O74" s="14"/>
      <c r="P74" s="2">
        <f>SUM(OSRRefP22_12x_0)</f>
        <v>511.58</v>
      </c>
      <c r="Q74" s="2"/>
      <c r="R74" s="6">
        <f t="shared" si="16"/>
        <v>3.8977454229199795E-5</v>
      </c>
      <c r="S74" s="2"/>
      <c r="T74" s="2">
        <f>SUM(OSRRefT22_12x_0)</f>
        <v>0</v>
      </c>
      <c r="U74" s="2"/>
      <c r="V74" s="6">
        <f t="shared" si="17"/>
        <v>0</v>
      </c>
      <c r="W74" s="2"/>
      <c r="X74" s="2">
        <f t="shared" si="18"/>
        <v>511.58</v>
      </c>
      <c r="Y74" s="2"/>
      <c r="Z74" s="6">
        <f t="shared" si="19"/>
        <v>0</v>
      </c>
    </row>
    <row r="75" spans="1:26" s="70" customFormat="1" ht="15" hidden="1" customHeight="1" outlineLevel="2" x14ac:dyDescent="0.25">
      <c r="A75" s="25"/>
      <c r="B75" s="12" t="str">
        <f>CONCATENATE("          ","6336"," - ","PROFESSIONAL SERVICES")</f>
        <v xml:space="preserve">          6336 - PROFESSIONAL SERVICES</v>
      </c>
      <c r="C75" s="12"/>
      <c r="D75" s="8">
        <v>511.58</v>
      </c>
      <c r="E75" s="3"/>
      <c r="F75" s="7">
        <f t="shared" si="12"/>
        <v>6.3279620779450104E-4</v>
      </c>
      <c r="G75" s="3"/>
      <c r="H75" s="8"/>
      <c r="I75" s="3"/>
      <c r="J75" s="7">
        <f t="shared" si="13"/>
        <v>0</v>
      </c>
      <c r="K75" s="3"/>
      <c r="L75" s="8">
        <f t="shared" si="14"/>
        <v>511.58</v>
      </c>
      <c r="M75" s="3"/>
      <c r="N75" s="7">
        <f t="shared" si="15"/>
        <v>0</v>
      </c>
      <c r="O75" s="12"/>
      <c r="P75" s="8">
        <v>511.58</v>
      </c>
      <c r="Q75" s="3"/>
      <c r="R75" s="7">
        <f t="shared" si="16"/>
        <v>3.8977454229199795E-5</v>
      </c>
      <c r="S75" s="3"/>
      <c r="T75" s="8"/>
      <c r="U75" s="3"/>
      <c r="V75" s="7">
        <f t="shared" si="17"/>
        <v>0</v>
      </c>
      <c r="W75" s="3"/>
      <c r="X75" s="8">
        <f t="shared" si="18"/>
        <v>511.58</v>
      </c>
      <c r="Y75" s="3"/>
      <c r="Z75" s="7">
        <f t="shared" si="19"/>
        <v>0</v>
      </c>
    </row>
    <row r="76" spans="1:26" s="69" customFormat="1" ht="15" customHeight="1" outlineLevel="1" collapsed="1" x14ac:dyDescent="0.25">
      <c r="A76" s="26"/>
      <c r="B76" s="14" t="str">
        <f>CONCATENATE("     ","R/H Commissions                                   ")</f>
        <v xml:space="preserve">     R/H Commissions                                   </v>
      </c>
      <c r="C76" s="14"/>
      <c r="D76" s="2">
        <f>SUM(OSRRefD22_13x_0)</f>
        <v>56038.67</v>
      </c>
      <c r="E76" s="2"/>
      <c r="F76" s="6">
        <f t="shared" si="12"/>
        <v>6.9316740032541291E-2</v>
      </c>
      <c r="G76" s="2"/>
      <c r="H76" s="2">
        <f>SUM(OSRRefH22_13x_0)</f>
        <v>44064</v>
      </c>
      <c r="I76" s="2"/>
      <c r="J76" s="6">
        <f t="shared" si="13"/>
        <v>5.1796369176082262E-2</v>
      </c>
      <c r="K76" s="2"/>
      <c r="L76" s="2">
        <f t="shared" si="14"/>
        <v>11974.669999999998</v>
      </c>
      <c r="M76" s="2"/>
      <c r="N76" s="6">
        <f t="shared" si="15"/>
        <v>0.27175630900508346</v>
      </c>
      <c r="O76" s="14"/>
      <c r="P76" s="2">
        <f>SUM(OSRRefP22_13x_0)</f>
        <v>912239.08</v>
      </c>
      <c r="Q76" s="2"/>
      <c r="R76" s="6">
        <f t="shared" si="16"/>
        <v>6.9503805830539375E-2</v>
      </c>
      <c r="S76" s="2"/>
      <c r="T76" s="2">
        <f>SUM(OSRRefT22_13x_0)</f>
        <v>703152</v>
      </c>
      <c r="U76" s="2"/>
      <c r="V76" s="6">
        <f t="shared" si="17"/>
        <v>6.4376470588235299E-2</v>
      </c>
      <c r="W76" s="2"/>
      <c r="X76" s="2">
        <f t="shared" si="18"/>
        <v>209087.07999999996</v>
      </c>
      <c r="Y76" s="2"/>
      <c r="Z76" s="6">
        <f t="shared" si="19"/>
        <v>0.29735687305163033</v>
      </c>
    </row>
    <row r="77" spans="1:26" s="70" customFormat="1" ht="15" hidden="1" customHeight="1" outlineLevel="2" x14ac:dyDescent="0.25">
      <c r="A77" s="25"/>
      <c r="B77" s="12" t="str">
        <f>CONCATENATE("          ","6387"," - ","COMMISSION DUE HOUSING")</f>
        <v xml:space="preserve">          6387 - COMMISSION DUE HOUSING</v>
      </c>
      <c r="C77" s="12"/>
      <c r="D77" s="8">
        <v>56038.67</v>
      </c>
      <c r="E77" s="3"/>
      <c r="F77" s="7">
        <f t="shared" si="12"/>
        <v>6.9316740032541291E-2</v>
      </c>
      <c r="G77" s="3"/>
      <c r="H77" s="8">
        <v>44064</v>
      </c>
      <c r="I77" s="3"/>
      <c r="J77" s="7">
        <f t="shared" si="13"/>
        <v>5.1796369176082262E-2</v>
      </c>
      <c r="K77" s="3"/>
      <c r="L77" s="8">
        <f t="shared" si="14"/>
        <v>11974.669999999998</v>
      </c>
      <c r="M77" s="3"/>
      <c r="N77" s="7">
        <f t="shared" si="15"/>
        <v>0.27175630900508346</v>
      </c>
      <c r="O77" s="12"/>
      <c r="P77" s="8">
        <v>912239.08</v>
      </c>
      <c r="Q77" s="3"/>
      <c r="R77" s="7">
        <f t="shared" si="16"/>
        <v>6.9503805830539375E-2</v>
      </c>
      <c r="S77" s="3"/>
      <c r="T77" s="8">
        <v>703152</v>
      </c>
      <c r="U77" s="3"/>
      <c r="V77" s="7">
        <f t="shared" si="17"/>
        <v>6.4376470588235299E-2</v>
      </c>
      <c r="W77" s="3"/>
      <c r="X77" s="8">
        <f t="shared" si="18"/>
        <v>209087.07999999996</v>
      </c>
      <c r="Y77" s="3"/>
      <c r="Z77" s="7">
        <f t="shared" si="19"/>
        <v>0.29735687305163033</v>
      </c>
    </row>
    <row r="78" spans="1:26" s="69" customFormat="1" ht="15" customHeight="1" outlineLevel="1" collapsed="1" x14ac:dyDescent="0.25">
      <c r="A78" s="26"/>
      <c r="B78" s="14" t="str">
        <f>CONCATENATE("     ","Rent                                              ")</f>
        <v xml:space="preserve">     Rent                                              </v>
      </c>
      <c r="C78" s="14"/>
      <c r="D78" s="2">
        <f>SUM(OSRRefD22_14x_0)</f>
        <v>1850</v>
      </c>
      <c r="E78" s="2"/>
      <c r="F78" s="6">
        <f t="shared" si="12"/>
        <v>2.2883478330267544E-3</v>
      </c>
      <c r="G78" s="2"/>
      <c r="H78" s="2">
        <f>SUM(OSRRefH22_14x_0)</f>
        <v>1850</v>
      </c>
      <c r="I78" s="2"/>
      <c r="J78" s="6">
        <f t="shared" si="13"/>
        <v>2.1746387748672884E-3</v>
      </c>
      <c r="K78" s="2"/>
      <c r="L78" s="2">
        <f t="shared" si="14"/>
        <v>0</v>
      </c>
      <c r="M78" s="2"/>
      <c r="N78" s="6">
        <f t="shared" si="15"/>
        <v>0</v>
      </c>
      <c r="O78" s="14"/>
      <c r="P78" s="2">
        <f>SUM(OSRRefP22_14x_0)</f>
        <v>20350</v>
      </c>
      <c r="Q78" s="2"/>
      <c r="R78" s="6">
        <f t="shared" si="16"/>
        <v>1.5504734226596346E-3</v>
      </c>
      <c r="S78" s="2"/>
      <c r="T78" s="2">
        <f>SUM(OSRRefT22_14x_0)</f>
        <v>20350</v>
      </c>
      <c r="U78" s="2"/>
      <c r="V78" s="6">
        <f t="shared" si="17"/>
        <v>1.8631265735866332E-3</v>
      </c>
      <c r="W78" s="2"/>
      <c r="X78" s="2">
        <f t="shared" si="18"/>
        <v>0</v>
      </c>
      <c r="Y78" s="2"/>
      <c r="Z78" s="6">
        <f t="shared" si="19"/>
        <v>0</v>
      </c>
    </row>
    <row r="79" spans="1:26" s="70" customFormat="1" ht="15" hidden="1" customHeight="1" outlineLevel="2" x14ac:dyDescent="0.25">
      <c r="A79" s="25"/>
      <c r="B79" s="12" t="str">
        <f>CONCATENATE("          ","6273"," - ","RENT")</f>
        <v xml:space="preserve">          6273 - RENT</v>
      </c>
      <c r="C79" s="12"/>
      <c r="D79" s="8">
        <v>1850</v>
      </c>
      <c r="E79" s="3"/>
      <c r="F79" s="7">
        <f t="shared" si="12"/>
        <v>2.2883478330267544E-3</v>
      </c>
      <c r="G79" s="3"/>
      <c r="H79" s="8">
        <v>1850</v>
      </c>
      <c r="I79" s="3"/>
      <c r="J79" s="7">
        <f t="shared" si="13"/>
        <v>2.1746387748672884E-3</v>
      </c>
      <c r="K79" s="3"/>
      <c r="L79" s="8">
        <f t="shared" si="14"/>
        <v>0</v>
      </c>
      <c r="M79" s="3"/>
      <c r="N79" s="7">
        <f t="shared" si="15"/>
        <v>0</v>
      </c>
      <c r="O79" s="12"/>
      <c r="P79" s="8">
        <v>20350</v>
      </c>
      <c r="Q79" s="3"/>
      <c r="R79" s="7">
        <f t="shared" si="16"/>
        <v>1.5504734226596346E-3</v>
      </c>
      <c r="S79" s="3"/>
      <c r="T79" s="8">
        <v>20350</v>
      </c>
      <c r="U79" s="3"/>
      <c r="V79" s="7">
        <f t="shared" si="17"/>
        <v>1.8631265735866332E-3</v>
      </c>
      <c r="W79" s="3"/>
      <c r="X79" s="8">
        <f t="shared" si="18"/>
        <v>0</v>
      </c>
      <c r="Y79" s="3"/>
      <c r="Z79" s="7">
        <f t="shared" si="19"/>
        <v>0</v>
      </c>
    </row>
    <row r="80" spans="1:26" s="69" customFormat="1" ht="15" customHeight="1" outlineLevel="1" collapsed="1" x14ac:dyDescent="0.25">
      <c r="A80" s="26"/>
      <c r="B80" s="14" t="str">
        <f>CONCATENATE("     ","Repair and Maintenance                            ")</f>
        <v xml:space="preserve">     Repair and Maintenance                            </v>
      </c>
      <c r="C80" s="14"/>
      <c r="D80" s="2">
        <f>SUM(OSRRefD22_15x_0)</f>
        <v>12149.23</v>
      </c>
      <c r="E80" s="2"/>
      <c r="F80" s="6">
        <f t="shared" si="12"/>
        <v>1.5027926564023587E-2</v>
      </c>
      <c r="G80" s="2"/>
      <c r="H80" s="2">
        <f>SUM(OSRRefH22_15x_0)</f>
        <v>8529</v>
      </c>
      <c r="I80" s="2"/>
      <c r="J80" s="6">
        <f t="shared" si="13"/>
        <v>1.0025672492347622E-2</v>
      </c>
      <c r="K80" s="2"/>
      <c r="L80" s="2">
        <f t="shared" si="14"/>
        <v>3620.2299999999996</v>
      </c>
      <c r="M80" s="2"/>
      <c r="N80" s="6">
        <f t="shared" si="15"/>
        <v>0.42446124985344114</v>
      </c>
      <c r="O80" s="14"/>
      <c r="P80" s="2">
        <f>SUM(OSRRefP22_15x_0)</f>
        <v>142796.59</v>
      </c>
      <c r="Q80" s="2"/>
      <c r="R80" s="6">
        <f t="shared" si="16"/>
        <v>1.0879720768620371E-2</v>
      </c>
      <c r="S80" s="2"/>
      <c r="T80" s="2">
        <f>SUM(OSRRefT22_15x_0)</f>
        <v>113417</v>
      </c>
      <c r="U80" s="2"/>
      <c r="V80" s="6">
        <f t="shared" si="17"/>
        <v>1.0383794918745708E-2</v>
      </c>
      <c r="W80" s="2"/>
      <c r="X80" s="2">
        <f t="shared" si="18"/>
        <v>29379.589999999997</v>
      </c>
      <c r="Y80" s="2"/>
      <c r="Z80" s="6">
        <f t="shared" si="19"/>
        <v>0.25904044367246531</v>
      </c>
    </row>
    <row r="81" spans="1:26" s="70" customFormat="1" ht="15" hidden="1" customHeight="1" outlineLevel="2" x14ac:dyDescent="0.25">
      <c r="A81" s="25"/>
      <c r="B81" s="12" t="str">
        <f>CONCATENATE("          ","6371"," - ","COMPUTER SOFTWARE MAINTENANCE")</f>
        <v xml:space="preserve">          6371 - COMPUTER SOFTWARE MAINTENANCE</v>
      </c>
      <c r="C81" s="12"/>
      <c r="D81" s="8">
        <v>3500</v>
      </c>
      <c r="E81" s="3"/>
      <c r="F81" s="7">
        <f t="shared" si="12"/>
        <v>4.3293067111316976E-3</v>
      </c>
      <c r="G81" s="3"/>
      <c r="H81" s="8">
        <v>3500</v>
      </c>
      <c r="I81" s="3"/>
      <c r="J81" s="7">
        <f t="shared" si="13"/>
        <v>4.1141814659651403E-3</v>
      </c>
      <c r="K81" s="3"/>
      <c r="L81" s="8">
        <f t="shared" si="14"/>
        <v>0</v>
      </c>
      <c r="M81" s="3"/>
      <c r="N81" s="7">
        <f t="shared" si="15"/>
        <v>0</v>
      </c>
      <c r="O81" s="12"/>
      <c r="P81" s="8">
        <v>55067.06</v>
      </c>
      <c r="Q81" s="3"/>
      <c r="R81" s="7">
        <f t="shared" si="16"/>
        <v>4.1955780341033644E-3</v>
      </c>
      <c r="S81" s="3"/>
      <c r="T81" s="8">
        <v>38500</v>
      </c>
      <c r="U81" s="3"/>
      <c r="V81" s="7">
        <f t="shared" si="17"/>
        <v>3.5248340581368735E-3</v>
      </c>
      <c r="W81" s="3"/>
      <c r="X81" s="8">
        <f t="shared" si="18"/>
        <v>16567.059999999998</v>
      </c>
      <c r="Y81" s="3"/>
      <c r="Z81" s="7">
        <f t="shared" si="19"/>
        <v>0.43031324675324667</v>
      </c>
    </row>
    <row r="82" spans="1:26" s="70" customFormat="1" ht="15" hidden="1" customHeight="1" outlineLevel="2" x14ac:dyDescent="0.25">
      <c r="A82" s="25"/>
      <c r="B82" s="12" t="str">
        <f>CONCATENATE("          ","6372"," - ","COMPUTER HARDWARE MAINTENANCE")</f>
        <v xml:space="preserve">          6372 - COMPUTER HARDWARE MAINTENANCE</v>
      </c>
      <c r="C82" s="12"/>
      <c r="D82" s="8"/>
      <c r="E82" s="3"/>
      <c r="F82" s="7">
        <f t="shared" si="12"/>
        <v>0</v>
      </c>
      <c r="G82" s="3"/>
      <c r="H82" s="8"/>
      <c r="I82" s="3"/>
      <c r="J82" s="7">
        <f t="shared" si="13"/>
        <v>0</v>
      </c>
      <c r="K82" s="3"/>
      <c r="L82" s="8">
        <f t="shared" si="14"/>
        <v>0</v>
      </c>
      <c r="M82" s="3"/>
      <c r="N82" s="7">
        <f t="shared" si="15"/>
        <v>0</v>
      </c>
      <c r="O82" s="12"/>
      <c r="P82" s="8"/>
      <c r="Q82" s="3"/>
      <c r="R82" s="7">
        <f t="shared" si="16"/>
        <v>0</v>
      </c>
      <c r="S82" s="3"/>
      <c r="T82" s="8">
        <v>8000</v>
      </c>
      <c r="U82" s="3"/>
      <c r="V82" s="7">
        <f t="shared" si="17"/>
        <v>7.3243305104142824E-4</v>
      </c>
      <c r="W82" s="3"/>
      <c r="X82" s="8">
        <f t="shared" si="18"/>
        <v>-8000</v>
      </c>
      <c r="Y82" s="3"/>
      <c r="Z82" s="7">
        <f t="shared" si="19"/>
        <v>-1</v>
      </c>
    </row>
    <row r="83" spans="1:26" s="70" customFormat="1" ht="15" hidden="1" customHeight="1" outlineLevel="2" x14ac:dyDescent="0.25">
      <c r="A83" s="25"/>
      <c r="B83" s="12" t="str">
        <f>CONCATENATE("          ","6373"," - ","MAINTENANCE CONTRACTS")</f>
        <v xml:space="preserve">          6373 - MAINTENANCE CONTRACTS</v>
      </c>
      <c r="C83" s="12"/>
      <c r="D83" s="8">
        <v>4582.04</v>
      </c>
      <c r="E83" s="3"/>
      <c r="F83" s="7">
        <f t="shared" si="12"/>
        <v>5.6677304350496813E-3</v>
      </c>
      <c r="G83" s="3"/>
      <c r="H83" s="8">
        <v>1800</v>
      </c>
      <c r="I83" s="3"/>
      <c r="J83" s="7">
        <f t="shared" si="13"/>
        <v>2.1158647539249293E-3</v>
      </c>
      <c r="K83" s="3"/>
      <c r="L83" s="8">
        <f t="shared" si="14"/>
        <v>2782.04</v>
      </c>
      <c r="M83" s="3"/>
      <c r="N83" s="7">
        <f t="shared" si="15"/>
        <v>1.5455777777777777</v>
      </c>
      <c r="O83" s="12"/>
      <c r="P83" s="8">
        <v>25597.71</v>
      </c>
      <c r="Q83" s="3"/>
      <c r="R83" s="7">
        <f t="shared" si="16"/>
        <v>1.9502982327247544E-3</v>
      </c>
      <c r="S83" s="3"/>
      <c r="T83" s="8">
        <v>23345</v>
      </c>
      <c r="U83" s="3"/>
      <c r="V83" s="7">
        <f t="shared" si="17"/>
        <v>2.1373311970702678E-3</v>
      </c>
      <c r="W83" s="3"/>
      <c r="X83" s="8">
        <f t="shared" si="18"/>
        <v>2252.7099999999991</v>
      </c>
      <c r="Y83" s="3"/>
      <c r="Z83" s="7">
        <f t="shared" si="19"/>
        <v>9.6496466052687899E-2</v>
      </c>
    </row>
    <row r="84" spans="1:26" s="70" customFormat="1" ht="15" hidden="1" customHeight="1" outlineLevel="2" x14ac:dyDescent="0.25">
      <c r="A84" s="25"/>
      <c r="B84" s="12" t="str">
        <f>CONCATENATE("          ","6375"," - ","OUTSIDE REPAIRS &amp; MAINTENANCE")</f>
        <v xml:space="preserve">          6375 - OUTSIDE REPAIRS &amp; MAINTENANCE</v>
      </c>
      <c r="C84" s="12"/>
      <c r="D84" s="8">
        <v>4067.19</v>
      </c>
      <c r="E84" s="3"/>
      <c r="F84" s="7">
        <f t="shared" si="12"/>
        <v>5.0308894178422081E-3</v>
      </c>
      <c r="G84" s="3"/>
      <c r="H84" s="8">
        <v>3229</v>
      </c>
      <c r="I84" s="3"/>
      <c r="J84" s="7">
        <f t="shared" si="13"/>
        <v>3.7956262724575533E-3</v>
      </c>
      <c r="K84" s="3"/>
      <c r="L84" s="8">
        <f t="shared" si="14"/>
        <v>838.19</v>
      </c>
      <c r="M84" s="3"/>
      <c r="N84" s="7">
        <f t="shared" si="15"/>
        <v>0.25958191390523383</v>
      </c>
      <c r="O84" s="12"/>
      <c r="P84" s="8">
        <v>62131.82</v>
      </c>
      <c r="Q84" s="3"/>
      <c r="R84" s="7">
        <f t="shared" si="16"/>
        <v>4.7338445017922528E-3</v>
      </c>
      <c r="S84" s="3"/>
      <c r="T84" s="8">
        <v>43572</v>
      </c>
      <c r="U84" s="3"/>
      <c r="V84" s="7">
        <f t="shared" si="17"/>
        <v>3.9891966124971394E-3</v>
      </c>
      <c r="W84" s="3"/>
      <c r="X84" s="8">
        <f t="shared" si="18"/>
        <v>18559.82</v>
      </c>
      <c r="Y84" s="3"/>
      <c r="Z84" s="7">
        <f t="shared" si="19"/>
        <v>0.42595749563940144</v>
      </c>
    </row>
    <row r="85" spans="1:26" s="69" customFormat="1" ht="15" customHeight="1" outlineLevel="1" collapsed="1" x14ac:dyDescent="0.25">
      <c r="A85" s="26"/>
      <c r="B85" s="14" t="str">
        <f>CONCATENATE("     ","Royalty &amp; Commissions                             ")</f>
        <v xml:space="preserve">     Royalty &amp; Commissions                             </v>
      </c>
      <c r="C85" s="14"/>
      <c r="D85" s="2">
        <f>SUM(OSRRefD22_16x_0)</f>
        <v>123.36</v>
      </c>
      <c r="E85" s="2"/>
      <c r="F85" s="6">
        <f t="shared" si="12"/>
        <v>1.525895073957732E-4</v>
      </c>
      <c r="G85" s="2"/>
      <c r="H85" s="2">
        <f>SUM(OSRRefH22_16x_0)</f>
        <v>0</v>
      </c>
      <c r="I85" s="2"/>
      <c r="J85" s="6">
        <f t="shared" si="13"/>
        <v>0</v>
      </c>
      <c r="K85" s="2"/>
      <c r="L85" s="2">
        <f t="shared" si="14"/>
        <v>123.36</v>
      </c>
      <c r="M85" s="2"/>
      <c r="N85" s="6">
        <f t="shared" si="15"/>
        <v>0</v>
      </c>
      <c r="O85" s="14"/>
      <c r="P85" s="2">
        <f>SUM(OSRRefP22_16x_0)</f>
        <v>6186.42</v>
      </c>
      <c r="Q85" s="2"/>
      <c r="R85" s="6">
        <f t="shared" si="16"/>
        <v>4.7134544429533253E-4</v>
      </c>
      <c r="S85" s="2"/>
      <c r="T85" s="2">
        <f>SUM(OSRRefT22_16x_0)</f>
        <v>0</v>
      </c>
      <c r="U85" s="2"/>
      <c r="V85" s="6">
        <f t="shared" si="17"/>
        <v>0</v>
      </c>
      <c r="W85" s="2"/>
      <c r="X85" s="2">
        <f t="shared" si="18"/>
        <v>6186.42</v>
      </c>
      <c r="Y85" s="2"/>
      <c r="Z85" s="6">
        <f t="shared" si="19"/>
        <v>0</v>
      </c>
    </row>
    <row r="86" spans="1:26" s="70" customFormat="1" ht="15" hidden="1" customHeight="1" outlineLevel="2" x14ac:dyDescent="0.25">
      <c r="A86" s="25"/>
      <c r="B86" s="12" t="str">
        <f>CONCATENATE("          ","6254"," - ","ROYALTY &amp; COMMISSIONS")</f>
        <v xml:space="preserve">          6254 - ROYALTY &amp; COMMISSIONS</v>
      </c>
      <c r="C86" s="12"/>
      <c r="D86" s="8">
        <v>123.36</v>
      </c>
      <c r="E86" s="3"/>
      <c r="F86" s="7">
        <f t="shared" si="12"/>
        <v>1.525895073957732E-4</v>
      </c>
      <c r="G86" s="3"/>
      <c r="H86" s="8"/>
      <c r="I86" s="3"/>
      <c r="J86" s="7">
        <f t="shared" si="13"/>
        <v>0</v>
      </c>
      <c r="K86" s="3"/>
      <c r="L86" s="8">
        <f t="shared" si="14"/>
        <v>123.36</v>
      </c>
      <c r="M86" s="3"/>
      <c r="N86" s="7">
        <f t="shared" si="15"/>
        <v>0</v>
      </c>
      <c r="O86" s="12"/>
      <c r="P86" s="8">
        <v>6186.42</v>
      </c>
      <c r="Q86" s="3"/>
      <c r="R86" s="7">
        <f t="shared" si="16"/>
        <v>4.7134544429533253E-4</v>
      </c>
      <c r="S86" s="3"/>
      <c r="T86" s="8"/>
      <c r="U86" s="3"/>
      <c r="V86" s="7">
        <f t="shared" si="17"/>
        <v>0</v>
      </c>
      <c r="W86" s="3"/>
      <c r="X86" s="8">
        <f t="shared" si="18"/>
        <v>6186.42</v>
      </c>
      <c r="Y86" s="3"/>
      <c r="Z86" s="7">
        <f t="shared" si="19"/>
        <v>0</v>
      </c>
    </row>
    <row r="87" spans="1:26" s="69" customFormat="1" ht="15" customHeight="1" outlineLevel="1" collapsed="1" x14ac:dyDescent="0.25">
      <c r="A87" s="26"/>
      <c r="B87" s="14" t="str">
        <f>CONCATENATE("     ","Services                                          ")</f>
        <v xml:space="preserve">     Services                                          </v>
      </c>
      <c r="C87" s="14"/>
      <c r="D87" s="2">
        <f>SUM(OSRRefD22_17x_0)</f>
        <v>21186.899999999998</v>
      </c>
      <c r="E87" s="2"/>
      <c r="F87" s="6">
        <f t="shared" si="12"/>
        <v>2.6207025245164616E-2</v>
      </c>
      <c r="G87" s="2"/>
      <c r="H87" s="2">
        <f>SUM(OSRRefH22_17x_0)</f>
        <v>32801</v>
      </c>
      <c r="I87" s="2"/>
      <c r="J87" s="6">
        <f t="shared" si="13"/>
        <v>3.8556933218606447E-2</v>
      </c>
      <c r="K87" s="2"/>
      <c r="L87" s="2">
        <f t="shared" si="14"/>
        <v>-11614.100000000002</v>
      </c>
      <c r="M87" s="2"/>
      <c r="N87" s="6">
        <f t="shared" si="15"/>
        <v>-0.3540776195847688</v>
      </c>
      <c r="O87" s="14"/>
      <c r="P87" s="2">
        <f>SUM(OSRRefP22_17x_0)</f>
        <v>264956.87</v>
      </c>
      <c r="Q87" s="2"/>
      <c r="R87" s="6">
        <f t="shared" si="16"/>
        <v>2.018715405828422E-2</v>
      </c>
      <c r="S87" s="2"/>
      <c r="T87" s="2">
        <f>SUM(OSRRefT22_17x_0)</f>
        <v>353167</v>
      </c>
      <c r="U87" s="2"/>
      <c r="V87" s="6">
        <f t="shared" si="17"/>
        <v>3.2333897917143514E-2</v>
      </c>
      <c r="W87" s="2"/>
      <c r="X87" s="2">
        <f t="shared" si="18"/>
        <v>-88210.13</v>
      </c>
      <c r="Y87" s="2"/>
      <c r="Z87" s="6">
        <f t="shared" si="19"/>
        <v>-0.24976889120444437</v>
      </c>
    </row>
    <row r="88" spans="1:26" s="70" customFormat="1" ht="15" hidden="1" customHeight="1" outlineLevel="2" x14ac:dyDescent="0.25">
      <c r="A88" s="25"/>
      <c r="B88" s="12" t="str">
        <f>CONCATENATE("          ","6282"," - ","JANITORIAL/EXTERMINATOR EXPENS")</f>
        <v xml:space="preserve">          6282 - JANITORIAL/EXTERMINATOR EXPENS</v>
      </c>
      <c r="C88" s="12"/>
      <c r="D88" s="8">
        <v>2381.3000000000002</v>
      </c>
      <c r="E88" s="3"/>
      <c r="F88" s="7">
        <f t="shared" si="12"/>
        <v>2.9455365917765465E-3</v>
      </c>
      <c r="G88" s="3"/>
      <c r="H88" s="8">
        <v>2698</v>
      </c>
      <c r="I88" s="3"/>
      <c r="J88" s="7">
        <f t="shared" si="13"/>
        <v>3.1714461700496992E-3</v>
      </c>
      <c r="K88" s="3"/>
      <c r="L88" s="8">
        <f t="shared" si="14"/>
        <v>-316.69999999999982</v>
      </c>
      <c r="M88" s="3"/>
      <c r="N88" s="7">
        <f t="shared" si="15"/>
        <v>-0.11738324684951809</v>
      </c>
      <c r="O88" s="12"/>
      <c r="P88" s="8">
        <v>30383.23</v>
      </c>
      <c r="Q88" s="3"/>
      <c r="R88" s="7">
        <f t="shared" si="16"/>
        <v>2.3149086294621569E-3</v>
      </c>
      <c r="S88" s="3"/>
      <c r="T88" s="8">
        <v>29578</v>
      </c>
      <c r="U88" s="3"/>
      <c r="V88" s="7">
        <f t="shared" si="17"/>
        <v>2.7079880979629205E-3</v>
      </c>
      <c r="W88" s="3"/>
      <c r="X88" s="8">
        <f t="shared" si="18"/>
        <v>805.22999999999956</v>
      </c>
      <c r="Y88" s="3"/>
      <c r="Z88" s="7">
        <f t="shared" si="19"/>
        <v>2.7223950233281478E-2</v>
      </c>
    </row>
    <row r="89" spans="1:26" s="70" customFormat="1" ht="15" hidden="1" customHeight="1" outlineLevel="2" x14ac:dyDescent="0.25">
      <c r="A89" s="25"/>
      <c r="B89" s="12" t="str">
        <f>CONCATENATE("          ","6283"," - ","PLANT SERVICE")</f>
        <v xml:space="preserve">          6283 - PLANT SERVICE</v>
      </c>
      <c r="C89" s="12"/>
      <c r="D89" s="8"/>
      <c r="E89" s="3"/>
      <c r="F89" s="7">
        <f t="shared" si="12"/>
        <v>0</v>
      </c>
      <c r="G89" s="3"/>
      <c r="H89" s="8">
        <v>100</v>
      </c>
      <c r="I89" s="3"/>
      <c r="J89" s="7">
        <f t="shared" si="13"/>
        <v>1.1754804188471829E-4</v>
      </c>
      <c r="K89" s="3"/>
      <c r="L89" s="8">
        <f t="shared" si="14"/>
        <v>-100</v>
      </c>
      <c r="M89" s="3"/>
      <c r="N89" s="7">
        <f t="shared" si="15"/>
        <v>-1</v>
      </c>
      <c r="O89" s="12"/>
      <c r="P89" s="8"/>
      <c r="Q89" s="3"/>
      <c r="R89" s="7">
        <f t="shared" si="16"/>
        <v>0</v>
      </c>
      <c r="S89" s="3"/>
      <c r="T89" s="8">
        <v>1100</v>
      </c>
      <c r="U89" s="3"/>
      <c r="V89" s="7">
        <f t="shared" si="17"/>
        <v>1.0070954451819639E-4</v>
      </c>
      <c r="W89" s="3"/>
      <c r="X89" s="8">
        <f t="shared" si="18"/>
        <v>-1100</v>
      </c>
      <c r="Y89" s="3"/>
      <c r="Z89" s="7">
        <f t="shared" si="19"/>
        <v>-1</v>
      </c>
    </row>
    <row r="90" spans="1:26" s="70" customFormat="1" ht="15" hidden="1" customHeight="1" outlineLevel="2" x14ac:dyDescent="0.25">
      <c r="A90" s="25"/>
      <c r="B90" s="12" t="str">
        <f>CONCATENATE("          ","6284"," - ","TRASH REMOVAL EXPENSE")</f>
        <v xml:space="preserve">          6284 - TRASH REMOVAL EXPENSE</v>
      </c>
      <c r="C90" s="12"/>
      <c r="D90" s="8"/>
      <c r="E90" s="3"/>
      <c r="F90" s="7">
        <f t="shared" si="12"/>
        <v>0</v>
      </c>
      <c r="G90" s="3"/>
      <c r="H90" s="8">
        <v>1600</v>
      </c>
      <c r="I90" s="3"/>
      <c r="J90" s="7">
        <f t="shared" si="13"/>
        <v>1.8807686701554926E-3</v>
      </c>
      <c r="K90" s="3"/>
      <c r="L90" s="8">
        <f t="shared" si="14"/>
        <v>-1600</v>
      </c>
      <c r="M90" s="3"/>
      <c r="N90" s="7">
        <f t="shared" si="15"/>
        <v>-1</v>
      </c>
      <c r="O90" s="12"/>
      <c r="P90" s="8"/>
      <c r="Q90" s="3"/>
      <c r="R90" s="7">
        <f t="shared" si="16"/>
        <v>0</v>
      </c>
      <c r="S90" s="3"/>
      <c r="T90" s="8">
        <v>17600</v>
      </c>
      <c r="U90" s="3"/>
      <c r="V90" s="7">
        <f t="shared" si="17"/>
        <v>1.6113527122911422E-3</v>
      </c>
      <c r="W90" s="3"/>
      <c r="X90" s="8">
        <f t="shared" si="18"/>
        <v>-17600</v>
      </c>
      <c r="Y90" s="3"/>
      <c r="Z90" s="7">
        <f t="shared" si="19"/>
        <v>-1</v>
      </c>
    </row>
    <row r="91" spans="1:26" s="70" customFormat="1" ht="15" hidden="1" customHeight="1" outlineLevel="2" x14ac:dyDescent="0.25">
      <c r="A91" s="25"/>
      <c r="B91" s="12" t="str">
        <f>CONCATENATE("          ","6285"," - ","JANITORIAL SERVICES")</f>
        <v xml:space="preserve">          6285 - JANITORIAL SERVICES</v>
      </c>
      <c r="C91" s="12"/>
      <c r="D91" s="8">
        <v>14117.66</v>
      </c>
      <c r="E91" s="3"/>
      <c r="F91" s="7">
        <f t="shared" si="12"/>
        <v>1.7462765766707293E-2</v>
      </c>
      <c r="G91" s="3"/>
      <c r="H91" s="8">
        <v>23083</v>
      </c>
      <c r="I91" s="3"/>
      <c r="J91" s="7">
        <f t="shared" si="13"/>
        <v>2.7133614508249523E-2</v>
      </c>
      <c r="K91" s="3"/>
      <c r="L91" s="8">
        <f t="shared" si="14"/>
        <v>-8965.34</v>
      </c>
      <c r="M91" s="3"/>
      <c r="N91" s="7">
        <f t="shared" si="15"/>
        <v>-0.38839578910886802</v>
      </c>
      <c r="O91" s="12"/>
      <c r="P91" s="8">
        <v>195512.75</v>
      </c>
      <c r="Q91" s="3"/>
      <c r="R91" s="7">
        <f t="shared" si="16"/>
        <v>1.4896182931994963E-2</v>
      </c>
      <c r="S91" s="3"/>
      <c r="T91" s="8">
        <v>247336</v>
      </c>
      <c r="U91" s="3"/>
      <c r="V91" s="7">
        <f t="shared" si="17"/>
        <v>2.2644632639047837E-2</v>
      </c>
      <c r="W91" s="3"/>
      <c r="X91" s="8">
        <f t="shared" si="18"/>
        <v>-51823.25</v>
      </c>
      <c r="Y91" s="3"/>
      <c r="Z91" s="7">
        <f t="shared" si="19"/>
        <v>-0.20952570592230813</v>
      </c>
    </row>
    <row r="92" spans="1:26" s="70" customFormat="1" ht="15" hidden="1" customHeight="1" outlineLevel="2" x14ac:dyDescent="0.25">
      <c r="A92" s="25"/>
      <c r="B92" s="12" t="str">
        <f>CONCATENATE("          ","6286"," - ","LAUNDRY EXPENSE")</f>
        <v xml:space="preserve">          6286 - LAUNDRY EXPENSE</v>
      </c>
      <c r="C92" s="12"/>
      <c r="D92" s="8">
        <v>4687.9399999999996</v>
      </c>
      <c r="E92" s="3"/>
      <c r="F92" s="7">
        <f t="shared" si="12"/>
        <v>5.7987228866807792E-3</v>
      </c>
      <c r="G92" s="3"/>
      <c r="H92" s="8">
        <v>5320</v>
      </c>
      <c r="I92" s="3"/>
      <c r="J92" s="7">
        <f t="shared" si="13"/>
        <v>6.2535558282670123E-3</v>
      </c>
      <c r="K92" s="3"/>
      <c r="L92" s="8">
        <f t="shared" si="14"/>
        <v>-632.0600000000004</v>
      </c>
      <c r="M92" s="3"/>
      <c r="N92" s="7">
        <f t="shared" si="15"/>
        <v>-0.11880827067669181</v>
      </c>
      <c r="O92" s="12"/>
      <c r="P92" s="8">
        <v>39060.89</v>
      </c>
      <c r="Q92" s="3"/>
      <c r="R92" s="7">
        <f t="shared" si="16"/>
        <v>2.9760624968271005E-3</v>
      </c>
      <c r="S92" s="3"/>
      <c r="T92" s="8">
        <v>57553</v>
      </c>
      <c r="U92" s="3"/>
      <c r="V92" s="7">
        <f t="shared" si="17"/>
        <v>5.2692149233234146E-3</v>
      </c>
      <c r="W92" s="3"/>
      <c r="X92" s="8">
        <f t="shared" si="18"/>
        <v>-18492.11</v>
      </c>
      <c r="Y92" s="3"/>
      <c r="Z92" s="7">
        <f t="shared" si="19"/>
        <v>-0.32130575295814295</v>
      </c>
    </row>
    <row r="93" spans="1:26" s="69" customFormat="1" ht="15" customHeight="1" outlineLevel="1" collapsed="1" x14ac:dyDescent="0.25">
      <c r="A93" s="26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2">
        <f>SUM(OSRRefD22_18x_0)</f>
        <v>560.5</v>
      </c>
      <c r="E93" s="2"/>
      <c r="F93" s="6">
        <f t="shared" ref="F93:F116" si="20">IF(D$12=0,0,D93/D$12)</f>
        <v>6.9330754616837614E-4</v>
      </c>
      <c r="G93" s="2"/>
      <c r="H93" s="2">
        <f>SUM(OSRRefH22_18x_0)</f>
        <v>610</v>
      </c>
      <c r="I93" s="2"/>
      <c r="J93" s="6">
        <f t="shared" ref="J93:J116" si="21">IF(H$12=0,0,H93/H$12)</f>
        <v>7.1704305549678154E-4</v>
      </c>
      <c r="K93" s="2"/>
      <c r="L93" s="2">
        <f t="shared" ref="L93:L116" si="22">+D93-H93</f>
        <v>-49.5</v>
      </c>
      <c r="M93" s="2"/>
      <c r="N93" s="6">
        <f t="shared" ref="N93:N116" si="23">IF(H93=0,0,L93/H93)</f>
        <v>-8.1147540983606561E-2</v>
      </c>
      <c r="O93" s="14"/>
      <c r="P93" s="2">
        <f>SUM(OSRRefP22_18x_0)</f>
        <v>6967.9</v>
      </c>
      <c r="Q93" s="2"/>
      <c r="R93" s="6">
        <f t="shared" ref="R93:R116" si="24">IF(P$12=0,0,P93/P$12)</f>
        <v>5.3088667133906968E-4</v>
      </c>
      <c r="S93" s="2"/>
      <c r="T93" s="2">
        <f>SUM(OSRRefT22_18x_0)</f>
        <v>7275</v>
      </c>
      <c r="U93" s="2"/>
      <c r="V93" s="6">
        <f t="shared" ref="V93:V116" si="25">IF(T$12=0,0,T93/T$12)</f>
        <v>6.6605630579079876E-4</v>
      </c>
      <c r="W93" s="2"/>
      <c r="X93" s="2">
        <f t="shared" ref="X93:X116" si="26">+P93-T93</f>
        <v>-307.10000000000036</v>
      </c>
      <c r="Y93" s="2"/>
      <c r="Z93" s="6">
        <f t="shared" ref="Z93:Z116" si="27">IF(T93=0,0,X93/T93)</f>
        <v>-4.2213058419244033E-2</v>
      </c>
    </row>
    <row r="94" spans="1:26" s="70" customFormat="1" ht="15" hidden="1" customHeight="1" outlineLevel="2" x14ac:dyDescent="0.25">
      <c r="A94" s="25"/>
      <c r="B94" s="12" t="str">
        <f>CONCATENATE("          ","6258"," - ","MEMBERSHIP DUES")</f>
        <v xml:space="preserve">          6258 - MEMBERSHIP DUES</v>
      </c>
      <c r="C94" s="12"/>
      <c r="D94" s="8"/>
      <c r="E94" s="3"/>
      <c r="F94" s="7">
        <f t="shared" si="20"/>
        <v>0</v>
      </c>
      <c r="G94" s="3"/>
      <c r="H94" s="8"/>
      <c r="I94" s="3"/>
      <c r="J94" s="7">
        <f t="shared" si="21"/>
        <v>0</v>
      </c>
      <c r="K94" s="3"/>
      <c r="L94" s="8">
        <f t="shared" si="22"/>
        <v>0</v>
      </c>
      <c r="M94" s="3"/>
      <c r="N94" s="7">
        <f t="shared" si="23"/>
        <v>0</v>
      </c>
      <c r="O94" s="12"/>
      <c r="P94" s="8"/>
      <c r="Q94" s="3"/>
      <c r="R94" s="7">
        <f t="shared" si="24"/>
        <v>0</v>
      </c>
      <c r="S94" s="3"/>
      <c r="T94" s="8">
        <v>795</v>
      </c>
      <c r="U94" s="3"/>
      <c r="V94" s="7">
        <f t="shared" si="25"/>
        <v>7.278553444724193E-5</v>
      </c>
      <c r="W94" s="3"/>
      <c r="X94" s="8">
        <f t="shared" si="26"/>
        <v>-795</v>
      </c>
      <c r="Y94" s="3"/>
      <c r="Z94" s="7">
        <f t="shared" si="27"/>
        <v>-1</v>
      </c>
    </row>
    <row r="95" spans="1:26" s="70" customFormat="1" ht="15" hidden="1" customHeight="1" outlineLevel="2" x14ac:dyDescent="0.25">
      <c r="A95" s="25"/>
      <c r="B95" s="12" t="str">
        <f>CONCATENATE("          ","6275"," - ","SUBSCRIPTIONS")</f>
        <v xml:space="preserve">          6275 - SUBSCRIPTIONS</v>
      </c>
      <c r="C95" s="12"/>
      <c r="D95" s="8">
        <v>560.5</v>
      </c>
      <c r="E95" s="3"/>
      <c r="F95" s="7">
        <f t="shared" si="20"/>
        <v>6.9330754616837614E-4</v>
      </c>
      <c r="G95" s="3"/>
      <c r="H95" s="8">
        <v>610</v>
      </c>
      <c r="I95" s="3"/>
      <c r="J95" s="7">
        <f t="shared" si="21"/>
        <v>7.1704305549678154E-4</v>
      </c>
      <c r="K95" s="3"/>
      <c r="L95" s="8">
        <f t="shared" si="22"/>
        <v>-49.5</v>
      </c>
      <c r="M95" s="3"/>
      <c r="N95" s="7">
        <f t="shared" si="23"/>
        <v>-8.1147540983606561E-2</v>
      </c>
      <c r="O95" s="12"/>
      <c r="P95" s="8">
        <v>6967.9</v>
      </c>
      <c r="Q95" s="3"/>
      <c r="R95" s="7">
        <f t="shared" si="24"/>
        <v>5.3088667133906968E-4</v>
      </c>
      <c r="S95" s="3"/>
      <c r="T95" s="8">
        <v>6480</v>
      </c>
      <c r="U95" s="3"/>
      <c r="V95" s="7">
        <f t="shared" si="25"/>
        <v>5.9327077134355686E-4</v>
      </c>
      <c r="W95" s="3"/>
      <c r="X95" s="8">
        <f t="shared" si="26"/>
        <v>487.89999999999964</v>
      </c>
      <c r="Y95" s="3"/>
      <c r="Z95" s="7">
        <f t="shared" si="27"/>
        <v>7.5293209876543157E-2</v>
      </c>
    </row>
    <row r="96" spans="1:26" s="69" customFormat="1" ht="15" customHeight="1" outlineLevel="1" collapsed="1" x14ac:dyDescent="0.25">
      <c r="A96" s="26"/>
      <c r="B96" s="14" t="str">
        <f>CONCATENATE("     ","Supplies                                          ")</f>
        <v xml:space="preserve">     Supplies                                          </v>
      </c>
      <c r="C96" s="14"/>
      <c r="D96" s="2">
        <f>SUM(OSRRefD22_19x_0)</f>
        <v>18473.61</v>
      </c>
      <c r="E96" s="2"/>
      <c r="F96" s="6">
        <f t="shared" si="20"/>
        <v>2.2850835357665612E-2</v>
      </c>
      <c r="G96" s="2"/>
      <c r="H96" s="2">
        <f>SUM(OSRRefH22_19x_0)</f>
        <v>30475</v>
      </c>
      <c r="I96" s="2"/>
      <c r="J96" s="6">
        <f t="shared" si="21"/>
        <v>3.5822765764367895E-2</v>
      </c>
      <c r="K96" s="2"/>
      <c r="L96" s="2">
        <f t="shared" si="22"/>
        <v>-12001.39</v>
      </c>
      <c r="M96" s="2"/>
      <c r="N96" s="6">
        <f t="shared" si="23"/>
        <v>-0.39381099261689906</v>
      </c>
      <c r="O96" s="14"/>
      <c r="P96" s="2">
        <f>SUM(OSRRefP22_19x_0)</f>
        <v>361268.01000000007</v>
      </c>
      <c r="Q96" s="2"/>
      <c r="R96" s="6">
        <f t="shared" si="24"/>
        <v>2.7525132577991902E-2</v>
      </c>
      <c r="S96" s="2"/>
      <c r="T96" s="2">
        <f>SUM(OSRRefT22_19x_0)</f>
        <v>361723</v>
      </c>
      <c r="U96" s="2"/>
      <c r="V96" s="6">
        <f t="shared" si="25"/>
        <v>3.3117235065232321E-2</v>
      </c>
      <c r="W96" s="2"/>
      <c r="X96" s="2">
        <f t="shared" si="26"/>
        <v>-454.98999999993248</v>
      </c>
      <c r="Y96" s="2"/>
      <c r="Z96" s="6">
        <f t="shared" si="27"/>
        <v>-1.2578409445900109E-3</v>
      </c>
    </row>
    <row r="97" spans="1:26" s="70" customFormat="1" ht="15" hidden="1" customHeight="1" outlineLevel="2" x14ac:dyDescent="0.25">
      <c r="A97" s="25"/>
      <c r="B97" s="12" t="str">
        <f>CONCATENATE("          ","6234"," - ","EXPENDABLE SUPPLIES &amp; EQUIPMEN")</f>
        <v xml:space="preserve">          6234 - EXPENDABLE SUPPLIES &amp; EQUIPMEN</v>
      </c>
      <c r="C97" s="12"/>
      <c r="D97" s="8"/>
      <c r="E97" s="3"/>
      <c r="F97" s="7">
        <f t="shared" si="20"/>
        <v>0</v>
      </c>
      <c r="G97" s="3"/>
      <c r="H97" s="8">
        <v>342</v>
      </c>
      <c r="I97" s="3"/>
      <c r="J97" s="7">
        <f t="shared" si="21"/>
        <v>4.0201430324573654E-4</v>
      </c>
      <c r="K97" s="3"/>
      <c r="L97" s="8">
        <f t="shared" si="22"/>
        <v>-342</v>
      </c>
      <c r="M97" s="3"/>
      <c r="N97" s="7">
        <f t="shared" si="23"/>
        <v>-1</v>
      </c>
      <c r="O97" s="12"/>
      <c r="P97" s="8">
        <v>678.82</v>
      </c>
      <c r="Q97" s="3"/>
      <c r="R97" s="7">
        <f t="shared" si="24"/>
        <v>5.1719526720875348E-5</v>
      </c>
      <c r="S97" s="3"/>
      <c r="T97" s="8">
        <v>3762</v>
      </c>
      <c r="U97" s="3"/>
      <c r="V97" s="7">
        <f t="shared" si="25"/>
        <v>3.4442664225223165E-4</v>
      </c>
      <c r="W97" s="3"/>
      <c r="X97" s="8">
        <f t="shared" si="26"/>
        <v>-3083.18</v>
      </c>
      <c r="Y97" s="3"/>
      <c r="Z97" s="7">
        <f t="shared" si="27"/>
        <v>-0.81955874534821904</v>
      </c>
    </row>
    <row r="98" spans="1:26" s="70" customFormat="1" ht="15" hidden="1" customHeight="1" outlineLevel="2" x14ac:dyDescent="0.25">
      <c r="A98" s="25"/>
      <c r="B98" s="12" t="str">
        <f>CONCATENATE("          ","6235"," - ","COVID-19 EXPENSES")</f>
        <v xml:space="preserve">          6235 - COVID-19 EXPENSES</v>
      </c>
      <c r="C98" s="12"/>
      <c r="D98" s="8"/>
      <c r="E98" s="3"/>
      <c r="F98" s="7">
        <f t="shared" si="20"/>
        <v>0</v>
      </c>
      <c r="G98" s="3"/>
      <c r="H98" s="8">
        <v>250</v>
      </c>
      <c r="I98" s="3"/>
      <c r="J98" s="7">
        <f t="shared" si="21"/>
        <v>2.9387010471179572E-4</v>
      </c>
      <c r="K98" s="3"/>
      <c r="L98" s="8">
        <f t="shared" si="22"/>
        <v>-250</v>
      </c>
      <c r="M98" s="3"/>
      <c r="N98" s="7">
        <f t="shared" si="23"/>
        <v>-1</v>
      </c>
      <c r="O98" s="12"/>
      <c r="P98" s="8">
        <v>777.84</v>
      </c>
      <c r="Q98" s="3"/>
      <c r="R98" s="7">
        <f t="shared" si="24"/>
        <v>5.9263894205482567E-5</v>
      </c>
      <c r="S98" s="3"/>
      <c r="T98" s="8">
        <v>3000</v>
      </c>
      <c r="U98" s="3"/>
      <c r="V98" s="7">
        <f t="shared" si="25"/>
        <v>2.7466239414053559E-4</v>
      </c>
      <c r="W98" s="3"/>
      <c r="X98" s="8">
        <f t="shared" si="26"/>
        <v>-2222.16</v>
      </c>
      <c r="Y98" s="3"/>
      <c r="Z98" s="7">
        <f t="shared" si="27"/>
        <v>-0.74071999999999993</v>
      </c>
    </row>
    <row r="99" spans="1:26" s="70" customFormat="1" ht="15" hidden="1" customHeight="1" outlineLevel="2" x14ac:dyDescent="0.25">
      <c r="A99" s="25"/>
      <c r="B99" s="12" t="str">
        <f>CONCATENATE("          ","6237"," - ","JANITORIAL SUPPLIES")</f>
        <v xml:space="preserve">          6237 - JANITORIAL SUPPLIES</v>
      </c>
      <c r="C99" s="12"/>
      <c r="D99" s="8">
        <v>8941.36</v>
      </c>
      <c r="E99" s="3"/>
      <c r="F99" s="7">
        <f t="shared" si="20"/>
        <v>1.1059968529898434E-2</v>
      </c>
      <c r="G99" s="3"/>
      <c r="H99" s="8">
        <v>9975</v>
      </c>
      <c r="I99" s="3"/>
      <c r="J99" s="7">
        <f t="shared" si="21"/>
        <v>1.1725417178000649E-2</v>
      </c>
      <c r="K99" s="3"/>
      <c r="L99" s="8">
        <f t="shared" si="22"/>
        <v>-1033.6399999999994</v>
      </c>
      <c r="M99" s="3"/>
      <c r="N99" s="7">
        <f t="shared" si="23"/>
        <v>-0.10362305764411021</v>
      </c>
      <c r="O99" s="12"/>
      <c r="P99" s="8">
        <v>88669.440000000002</v>
      </c>
      <c r="Q99" s="3"/>
      <c r="R99" s="7">
        <f t="shared" si="24"/>
        <v>6.7557547971554355E-3</v>
      </c>
      <c r="S99" s="3"/>
      <c r="T99" s="8">
        <v>114203</v>
      </c>
      <c r="U99" s="3"/>
      <c r="V99" s="7">
        <f t="shared" si="25"/>
        <v>1.0455756466010529E-2</v>
      </c>
      <c r="W99" s="3"/>
      <c r="X99" s="8">
        <f t="shared" si="26"/>
        <v>-25533.559999999998</v>
      </c>
      <c r="Y99" s="3"/>
      <c r="Z99" s="7">
        <f t="shared" si="27"/>
        <v>-0.22358046636252987</v>
      </c>
    </row>
    <row r="100" spans="1:26" s="70" customFormat="1" ht="15" hidden="1" customHeight="1" outlineLevel="2" x14ac:dyDescent="0.25">
      <c r="A100" s="25"/>
      <c r="B100" s="12" t="str">
        <f>CONCATENATE("          ","6239"," - ","KITCHEN SUPPLIES")</f>
        <v xml:space="preserve">          6239 - KITCHEN SUPPLIES</v>
      </c>
      <c r="C100" s="12"/>
      <c r="D100" s="8">
        <v>1200.6500000000001</v>
      </c>
      <c r="E100" s="3"/>
      <c r="F100" s="7">
        <f t="shared" si="20"/>
        <v>1.4851377436343638E-3</v>
      </c>
      <c r="G100" s="3"/>
      <c r="H100" s="8">
        <v>3300</v>
      </c>
      <c r="I100" s="3"/>
      <c r="J100" s="7">
        <f t="shared" si="21"/>
        <v>3.8790853821957035E-3</v>
      </c>
      <c r="K100" s="3"/>
      <c r="L100" s="8">
        <f t="shared" si="22"/>
        <v>-2099.35</v>
      </c>
      <c r="M100" s="3"/>
      <c r="N100" s="7">
        <f t="shared" si="23"/>
        <v>-0.63616666666666666</v>
      </c>
      <c r="O100" s="12"/>
      <c r="P100" s="8">
        <v>45826.65</v>
      </c>
      <c r="Q100" s="3"/>
      <c r="R100" s="7">
        <f t="shared" si="24"/>
        <v>3.4915480528022185E-3</v>
      </c>
      <c r="S100" s="3"/>
      <c r="T100" s="8">
        <v>50749</v>
      </c>
      <c r="U100" s="3"/>
      <c r="V100" s="7">
        <f t="shared" si="25"/>
        <v>4.6462806134126801E-3</v>
      </c>
      <c r="W100" s="3"/>
      <c r="X100" s="8">
        <f t="shared" si="26"/>
        <v>-4922.3499999999985</v>
      </c>
      <c r="Y100" s="3"/>
      <c r="Z100" s="7">
        <f t="shared" si="27"/>
        <v>-9.699402943900369E-2</v>
      </c>
    </row>
    <row r="101" spans="1:26" s="70" customFormat="1" ht="15" hidden="1" customHeight="1" outlineLevel="2" x14ac:dyDescent="0.25">
      <c r="A101" s="25"/>
      <c r="B101" s="12" t="str">
        <f>CONCATENATE("          ","6241"," - ","OFFICE EXPENSE")</f>
        <v xml:space="preserve">          6241 - OFFICE EXPENSE</v>
      </c>
      <c r="C101" s="12"/>
      <c r="D101" s="8">
        <v>2066.2199999999998</v>
      </c>
      <c r="E101" s="3"/>
      <c r="F101" s="7">
        <f t="shared" si="20"/>
        <v>2.5558000321927242E-3</v>
      </c>
      <c r="G101" s="3"/>
      <c r="H101" s="8">
        <v>1495</v>
      </c>
      <c r="I101" s="3"/>
      <c r="J101" s="7">
        <f t="shared" si="21"/>
        <v>1.7573432261765384E-3</v>
      </c>
      <c r="K101" s="3"/>
      <c r="L101" s="8">
        <f t="shared" si="22"/>
        <v>571.2199999999998</v>
      </c>
      <c r="M101" s="3"/>
      <c r="N101" s="7">
        <f t="shared" si="23"/>
        <v>0.38208695652173902</v>
      </c>
      <c r="O101" s="12"/>
      <c r="P101" s="8">
        <v>26640.959999999999</v>
      </c>
      <c r="Q101" s="3"/>
      <c r="R101" s="7">
        <f t="shared" si="24"/>
        <v>2.0297838051173672E-3</v>
      </c>
      <c r="S101" s="3"/>
      <c r="T101" s="8">
        <v>19122</v>
      </c>
      <c r="U101" s="3"/>
      <c r="V101" s="7">
        <f t="shared" si="25"/>
        <v>1.7506981002517739E-3</v>
      </c>
      <c r="W101" s="3"/>
      <c r="X101" s="8">
        <f t="shared" si="26"/>
        <v>7518.9599999999991</v>
      </c>
      <c r="Y101" s="3"/>
      <c r="Z101" s="7">
        <f t="shared" si="27"/>
        <v>0.39320991528082833</v>
      </c>
    </row>
    <row r="102" spans="1:26" s="70" customFormat="1" ht="15" hidden="1" customHeight="1" outlineLevel="2" x14ac:dyDescent="0.25">
      <c r="A102" s="25"/>
      <c r="B102" s="12" t="str">
        <f>CONCATENATE("          ","6243"," - ","PAPER SUPPLIES")</f>
        <v xml:space="preserve">          6243 - PAPER SUPPLIES</v>
      </c>
      <c r="C102" s="12"/>
      <c r="D102" s="8">
        <v>5381.38</v>
      </c>
      <c r="E102" s="3"/>
      <c r="F102" s="7">
        <f t="shared" si="20"/>
        <v>6.6564698711856843E-3</v>
      </c>
      <c r="G102" s="3"/>
      <c r="H102" s="8">
        <v>13900</v>
      </c>
      <c r="I102" s="3"/>
      <c r="J102" s="7">
        <f t="shared" si="21"/>
        <v>1.6339177821975841E-2</v>
      </c>
      <c r="K102" s="3"/>
      <c r="L102" s="8">
        <f t="shared" si="22"/>
        <v>-8518.619999999999</v>
      </c>
      <c r="M102" s="3"/>
      <c r="N102" s="7">
        <f t="shared" si="23"/>
        <v>-0.61285035971223012</v>
      </c>
      <c r="O102" s="12"/>
      <c r="P102" s="8">
        <v>184536.32000000001</v>
      </c>
      <c r="Q102" s="3"/>
      <c r="R102" s="7">
        <f t="shared" si="24"/>
        <v>1.405988499633482E-2</v>
      </c>
      <c r="S102" s="3"/>
      <c r="T102" s="8">
        <v>152333</v>
      </c>
      <c r="U102" s="3"/>
      <c r="V102" s="7">
        <f t="shared" si="25"/>
        <v>1.3946715495536737E-2</v>
      </c>
      <c r="W102" s="3"/>
      <c r="X102" s="8">
        <f t="shared" si="26"/>
        <v>32203.320000000007</v>
      </c>
      <c r="Y102" s="3"/>
      <c r="Z102" s="7">
        <f t="shared" si="27"/>
        <v>0.21140081269324446</v>
      </c>
    </row>
    <row r="103" spans="1:26" s="70" customFormat="1" ht="15" hidden="1" customHeight="1" outlineLevel="2" x14ac:dyDescent="0.25">
      <c r="A103" s="25"/>
      <c r="B103" s="12" t="str">
        <f>CONCATENATE("          ","6244"," - ","SAFETY SUPPLY EXPENSE")</f>
        <v xml:space="preserve">          6244 - SAFETY SUPPLY EXPENSE</v>
      </c>
      <c r="C103" s="12"/>
      <c r="D103" s="8"/>
      <c r="E103" s="3"/>
      <c r="F103" s="7">
        <f t="shared" si="20"/>
        <v>0</v>
      </c>
      <c r="G103" s="3"/>
      <c r="H103" s="8">
        <v>525</v>
      </c>
      <c r="I103" s="3"/>
      <c r="J103" s="7">
        <f t="shared" si="21"/>
        <v>6.1712721989477099E-4</v>
      </c>
      <c r="K103" s="3"/>
      <c r="L103" s="8">
        <f t="shared" si="22"/>
        <v>-525</v>
      </c>
      <c r="M103" s="3"/>
      <c r="N103" s="7">
        <f t="shared" si="23"/>
        <v>-1</v>
      </c>
      <c r="O103" s="12"/>
      <c r="P103" s="8"/>
      <c r="Q103" s="3"/>
      <c r="R103" s="7">
        <f t="shared" si="24"/>
        <v>0</v>
      </c>
      <c r="S103" s="3"/>
      <c r="T103" s="8">
        <v>5925</v>
      </c>
      <c r="U103" s="3"/>
      <c r="V103" s="7">
        <f t="shared" si="25"/>
        <v>5.424582284275578E-4</v>
      </c>
      <c r="W103" s="3"/>
      <c r="X103" s="8">
        <f t="shared" si="26"/>
        <v>-5925</v>
      </c>
      <c r="Y103" s="3"/>
      <c r="Z103" s="7">
        <f t="shared" si="27"/>
        <v>-1</v>
      </c>
    </row>
    <row r="104" spans="1:26" s="70" customFormat="1" ht="15" hidden="1" customHeight="1" outlineLevel="2" x14ac:dyDescent="0.25">
      <c r="A104" s="25"/>
      <c r="B104" s="12" t="str">
        <f>CONCATENATE("          ","6245"," - ","PRINTING")</f>
        <v xml:space="preserve">          6245 - PRINTING</v>
      </c>
      <c r="C104" s="12"/>
      <c r="D104" s="8"/>
      <c r="E104" s="3"/>
      <c r="F104" s="7">
        <f t="shared" si="20"/>
        <v>0</v>
      </c>
      <c r="G104" s="3"/>
      <c r="H104" s="8">
        <v>100</v>
      </c>
      <c r="I104" s="3"/>
      <c r="J104" s="7">
        <f t="shared" si="21"/>
        <v>1.1754804188471829E-4</v>
      </c>
      <c r="K104" s="3"/>
      <c r="L104" s="8">
        <f t="shared" si="22"/>
        <v>-100</v>
      </c>
      <c r="M104" s="3"/>
      <c r="N104" s="7">
        <f t="shared" si="23"/>
        <v>-1</v>
      </c>
      <c r="O104" s="12"/>
      <c r="P104" s="8">
        <v>1071</v>
      </c>
      <c r="Q104" s="3"/>
      <c r="R104" s="7">
        <f t="shared" si="24"/>
        <v>8.1599854332602888E-5</v>
      </c>
      <c r="S104" s="3"/>
      <c r="T104" s="8">
        <v>1900</v>
      </c>
      <c r="U104" s="3"/>
      <c r="V104" s="7">
        <f t="shared" si="25"/>
        <v>1.739528496223392E-4</v>
      </c>
      <c r="W104" s="3"/>
      <c r="X104" s="8">
        <f t="shared" si="26"/>
        <v>-829</v>
      </c>
      <c r="Y104" s="3"/>
      <c r="Z104" s="7">
        <f t="shared" si="27"/>
        <v>-0.43631578947368421</v>
      </c>
    </row>
    <row r="105" spans="1:26" s="70" customFormat="1" ht="15" hidden="1" customHeight="1" outlineLevel="2" x14ac:dyDescent="0.25">
      <c r="A105" s="25"/>
      <c r="B105" s="12" t="str">
        <f>CONCATENATE("          ","6247"," - ","STORE SUPPLIES")</f>
        <v xml:space="preserve">          6247 - STORE SUPPLIES</v>
      </c>
      <c r="C105" s="12"/>
      <c r="D105" s="8">
        <v>884</v>
      </c>
      <c r="E105" s="3"/>
      <c r="F105" s="7">
        <f t="shared" si="20"/>
        <v>1.093459180754406E-3</v>
      </c>
      <c r="G105" s="3"/>
      <c r="H105" s="8"/>
      <c r="I105" s="3"/>
      <c r="J105" s="7">
        <f t="shared" si="21"/>
        <v>0</v>
      </c>
      <c r="K105" s="3"/>
      <c r="L105" s="8">
        <f t="shared" si="22"/>
        <v>884</v>
      </c>
      <c r="M105" s="3"/>
      <c r="N105" s="7">
        <f t="shared" si="23"/>
        <v>0</v>
      </c>
      <c r="O105" s="12"/>
      <c r="P105" s="8">
        <v>3535.14</v>
      </c>
      <c r="Q105" s="3"/>
      <c r="R105" s="7">
        <f t="shared" si="24"/>
        <v>2.6934351918334059E-4</v>
      </c>
      <c r="S105" s="3"/>
      <c r="T105" s="8">
        <v>411</v>
      </c>
      <c r="U105" s="3"/>
      <c r="V105" s="7">
        <f t="shared" si="25"/>
        <v>3.7628747997253376E-5</v>
      </c>
      <c r="W105" s="3"/>
      <c r="X105" s="8">
        <f t="shared" si="26"/>
        <v>3124.14</v>
      </c>
      <c r="Y105" s="3"/>
      <c r="Z105" s="7">
        <f t="shared" si="27"/>
        <v>7.6013138686131381</v>
      </c>
    </row>
    <row r="106" spans="1:26" s="70" customFormat="1" ht="15" hidden="1" customHeight="1" outlineLevel="2" x14ac:dyDescent="0.25">
      <c r="A106" s="25"/>
      <c r="B106" s="12" t="str">
        <f>CONCATENATE("          ","6248"," - ","UNIFORMS")</f>
        <v xml:space="preserve">          6248 - UNIFORMS</v>
      </c>
      <c r="C106" s="12"/>
      <c r="D106" s="8"/>
      <c r="E106" s="3"/>
      <c r="F106" s="7">
        <f t="shared" si="20"/>
        <v>0</v>
      </c>
      <c r="G106" s="3"/>
      <c r="H106" s="8">
        <v>588</v>
      </c>
      <c r="I106" s="3"/>
      <c r="J106" s="7">
        <f t="shared" si="21"/>
        <v>6.911824862821435E-4</v>
      </c>
      <c r="K106" s="3"/>
      <c r="L106" s="8">
        <f t="shared" si="22"/>
        <v>-588</v>
      </c>
      <c r="M106" s="3"/>
      <c r="N106" s="7">
        <f t="shared" si="23"/>
        <v>-1</v>
      </c>
      <c r="O106" s="12"/>
      <c r="P106" s="8">
        <v>9531.84</v>
      </c>
      <c r="Q106" s="3"/>
      <c r="R106" s="7">
        <f t="shared" si="24"/>
        <v>7.2623413213975484E-4</v>
      </c>
      <c r="S106" s="3"/>
      <c r="T106" s="8">
        <v>10318</v>
      </c>
      <c r="U106" s="3"/>
      <c r="V106" s="7">
        <f t="shared" si="25"/>
        <v>9.4465552758068213E-4</v>
      </c>
      <c r="W106" s="3"/>
      <c r="X106" s="8">
        <f t="shared" si="26"/>
        <v>-786.15999999999985</v>
      </c>
      <c r="Y106" s="3"/>
      <c r="Z106" s="7">
        <f t="shared" si="27"/>
        <v>-7.6193060670672594E-2</v>
      </c>
    </row>
    <row r="107" spans="1:26" s="69" customFormat="1" ht="15" customHeight="1" outlineLevel="1" collapsed="1" x14ac:dyDescent="0.25">
      <c r="A107" s="26"/>
      <c r="B107" s="14" t="str">
        <f>CONCATENATE("     ","Telephone/Data Lines                              ")</f>
        <v xml:space="preserve">     Telephone/Data Lines                              </v>
      </c>
      <c r="C107" s="14"/>
      <c r="D107" s="2">
        <f>SUM(OSRRefD22_20x_0)</f>
        <v>1395.85</v>
      </c>
      <c r="E107" s="2"/>
      <c r="F107" s="6">
        <f t="shared" si="20"/>
        <v>1.7265893636380513E-3</v>
      </c>
      <c r="G107" s="2"/>
      <c r="H107" s="2">
        <f>SUM(OSRRefH22_20x_0)</f>
        <v>1111</v>
      </c>
      <c r="I107" s="2"/>
      <c r="J107" s="6">
        <f t="shared" si="21"/>
        <v>1.3059587453392201E-3</v>
      </c>
      <c r="K107" s="2"/>
      <c r="L107" s="2">
        <f t="shared" si="22"/>
        <v>284.84999999999991</v>
      </c>
      <c r="M107" s="2"/>
      <c r="N107" s="6">
        <f t="shared" si="23"/>
        <v>0.2563906390639063</v>
      </c>
      <c r="O107" s="14"/>
      <c r="P107" s="2">
        <f>SUM(OSRRefP22_20x_0)</f>
        <v>15994.24</v>
      </c>
      <c r="Q107" s="2"/>
      <c r="R107" s="6">
        <f t="shared" si="24"/>
        <v>1.2186065865179181E-3</v>
      </c>
      <c r="S107" s="2"/>
      <c r="T107" s="2">
        <f>SUM(OSRRefT22_20x_0)</f>
        <v>11171</v>
      </c>
      <c r="U107" s="2"/>
      <c r="V107" s="6">
        <f t="shared" si="25"/>
        <v>1.0227512016479743E-3</v>
      </c>
      <c r="W107" s="2"/>
      <c r="X107" s="2">
        <f t="shared" si="26"/>
        <v>4823.24</v>
      </c>
      <c r="Y107" s="2"/>
      <c r="Z107" s="6">
        <f t="shared" si="27"/>
        <v>0.43176438993823291</v>
      </c>
    </row>
    <row r="108" spans="1:26" s="70" customFormat="1" ht="15" hidden="1" customHeight="1" outlineLevel="2" x14ac:dyDescent="0.25">
      <c r="A108" s="25"/>
      <c r="B108" s="12" t="str">
        <f>CONCATENATE("          ","6303"," - ","DATA PHONE LINES")</f>
        <v xml:space="preserve">          6303 - DATA PHONE LINES</v>
      </c>
      <c r="C108" s="12"/>
      <c r="D108" s="8"/>
      <c r="E108" s="3"/>
      <c r="F108" s="7">
        <f t="shared" si="20"/>
        <v>0</v>
      </c>
      <c r="G108" s="3"/>
      <c r="H108" s="8">
        <v>193</v>
      </c>
      <c r="I108" s="3"/>
      <c r="J108" s="7">
        <f t="shared" si="21"/>
        <v>2.2686772083750628E-4</v>
      </c>
      <c r="K108" s="3"/>
      <c r="L108" s="8">
        <f t="shared" si="22"/>
        <v>-193</v>
      </c>
      <c r="M108" s="3"/>
      <c r="N108" s="7">
        <f t="shared" si="23"/>
        <v>-1</v>
      </c>
      <c r="O108" s="12"/>
      <c r="P108" s="8"/>
      <c r="Q108" s="3"/>
      <c r="R108" s="7">
        <f t="shared" si="24"/>
        <v>0</v>
      </c>
      <c r="S108" s="3"/>
      <c r="T108" s="8">
        <v>2123</v>
      </c>
      <c r="U108" s="3"/>
      <c r="V108" s="7">
        <f t="shared" si="25"/>
        <v>1.9436942092011903E-4</v>
      </c>
      <c r="W108" s="3"/>
      <c r="X108" s="8">
        <f t="shared" si="26"/>
        <v>-2123</v>
      </c>
      <c r="Y108" s="3"/>
      <c r="Z108" s="7">
        <f t="shared" si="27"/>
        <v>-1</v>
      </c>
    </row>
    <row r="109" spans="1:26" s="70" customFormat="1" ht="15" hidden="1" customHeight="1" outlineLevel="2" x14ac:dyDescent="0.25">
      <c r="A109" s="25"/>
      <c r="B109" s="12" t="str">
        <f>CONCATENATE("          ","6309"," - ","TELEPHONE")</f>
        <v xml:space="preserve">          6309 - TELEPHONE</v>
      </c>
      <c r="C109" s="12"/>
      <c r="D109" s="8">
        <v>1395.85</v>
      </c>
      <c r="E109" s="3"/>
      <c r="F109" s="7">
        <f t="shared" si="20"/>
        <v>1.7265893636380513E-3</v>
      </c>
      <c r="G109" s="3"/>
      <c r="H109" s="8">
        <v>918</v>
      </c>
      <c r="I109" s="3"/>
      <c r="J109" s="7">
        <f t="shared" si="21"/>
        <v>1.0790910245017139E-3</v>
      </c>
      <c r="K109" s="3"/>
      <c r="L109" s="8">
        <f t="shared" si="22"/>
        <v>477.84999999999991</v>
      </c>
      <c r="M109" s="3"/>
      <c r="N109" s="7">
        <f t="shared" si="23"/>
        <v>0.52053376906318072</v>
      </c>
      <c r="O109" s="12"/>
      <c r="P109" s="8">
        <v>15994.24</v>
      </c>
      <c r="Q109" s="3"/>
      <c r="R109" s="7">
        <f t="shared" si="24"/>
        <v>1.2186065865179181E-3</v>
      </c>
      <c r="S109" s="3"/>
      <c r="T109" s="8">
        <v>9048</v>
      </c>
      <c r="U109" s="3"/>
      <c r="V109" s="7">
        <f t="shared" si="25"/>
        <v>8.283817807278553E-4</v>
      </c>
      <c r="W109" s="3"/>
      <c r="X109" s="8">
        <f t="shared" si="26"/>
        <v>6946.24</v>
      </c>
      <c r="Y109" s="3"/>
      <c r="Z109" s="7">
        <f t="shared" si="27"/>
        <v>0.76770999115826699</v>
      </c>
    </row>
    <row r="110" spans="1:26" s="69" customFormat="1" ht="15" customHeight="1" outlineLevel="1" collapsed="1" x14ac:dyDescent="0.25">
      <c r="A110" s="26"/>
      <c r="B110" s="14" t="str">
        <f>CONCATENATE("     ","Training                                          ")</f>
        <v xml:space="preserve">     Training                                          </v>
      </c>
      <c r="C110" s="14"/>
      <c r="D110" s="2">
        <f>SUM(OSRRefD22_21x_0)</f>
        <v>8040.38</v>
      </c>
      <c r="E110" s="2"/>
      <c r="F110" s="6">
        <f t="shared" si="20"/>
        <v>9.9455060268711648E-3</v>
      </c>
      <c r="G110" s="2"/>
      <c r="H110" s="2">
        <f>SUM(OSRRefH22_21x_0)</f>
        <v>615</v>
      </c>
      <c r="I110" s="2"/>
      <c r="J110" s="6">
        <f t="shared" si="21"/>
        <v>7.2292045759101743E-4</v>
      </c>
      <c r="K110" s="2"/>
      <c r="L110" s="2">
        <f t="shared" si="22"/>
        <v>7425.38</v>
      </c>
      <c r="M110" s="2"/>
      <c r="N110" s="6">
        <f t="shared" si="23"/>
        <v>12.073788617886178</v>
      </c>
      <c r="O110" s="14"/>
      <c r="P110" s="2">
        <f>SUM(OSRRefP22_21x_0)</f>
        <v>17331.3</v>
      </c>
      <c r="Q110" s="2"/>
      <c r="R110" s="6">
        <f t="shared" si="24"/>
        <v>1.3204776427587679E-3</v>
      </c>
      <c r="S110" s="2"/>
      <c r="T110" s="2">
        <f>SUM(OSRRefT22_21x_0)</f>
        <v>13145</v>
      </c>
      <c r="U110" s="2"/>
      <c r="V110" s="6">
        <f t="shared" si="25"/>
        <v>1.2034790569924467E-3</v>
      </c>
      <c r="W110" s="2"/>
      <c r="X110" s="2">
        <f t="shared" si="26"/>
        <v>4186.2999999999993</v>
      </c>
      <c r="Y110" s="2"/>
      <c r="Z110" s="6">
        <f t="shared" si="27"/>
        <v>0.31847090148345375</v>
      </c>
    </row>
    <row r="111" spans="1:26" s="70" customFormat="1" ht="15" hidden="1" customHeight="1" outlineLevel="2" x14ac:dyDescent="0.25">
      <c r="A111" s="25"/>
      <c r="B111" s="12" t="str">
        <f>CONCATENATE("          ","6376"," - ","TRAINING")</f>
        <v xml:space="preserve">          6376 - TRAINING</v>
      </c>
      <c r="C111" s="12"/>
      <c r="D111" s="8">
        <v>8040.38</v>
      </c>
      <c r="E111" s="3"/>
      <c r="F111" s="7">
        <f t="shared" si="20"/>
        <v>9.9455060268711648E-3</v>
      </c>
      <c r="G111" s="3"/>
      <c r="H111" s="8">
        <v>615</v>
      </c>
      <c r="I111" s="3"/>
      <c r="J111" s="7">
        <f t="shared" si="21"/>
        <v>7.2292045759101743E-4</v>
      </c>
      <c r="K111" s="3"/>
      <c r="L111" s="8">
        <f t="shared" si="22"/>
        <v>7425.38</v>
      </c>
      <c r="M111" s="3"/>
      <c r="N111" s="7">
        <f t="shared" si="23"/>
        <v>12.073788617886178</v>
      </c>
      <c r="O111" s="12"/>
      <c r="P111" s="8">
        <v>17331.3</v>
      </c>
      <c r="Q111" s="3"/>
      <c r="R111" s="7">
        <f t="shared" si="24"/>
        <v>1.3204776427587679E-3</v>
      </c>
      <c r="S111" s="3"/>
      <c r="T111" s="8">
        <v>13145</v>
      </c>
      <c r="U111" s="3"/>
      <c r="V111" s="7">
        <f t="shared" si="25"/>
        <v>1.2034790569924467E-3</v>
      </c>
      <c r="W111" s="3"/>
      <c r="X111" s="8">
        <f t="shared" si="26"/>
        <v>4186.2999999999993</v>
      </c>
      <c r="Y111" s="3"/>
      <c r="Z111" s="7">
        <f t="shared" si="27"/>
        <v>0.31847090148345375</v>
      </c>
    </row>
    <row r="112" spans="1:26" s="69" customFormat="1" ht="15" customHeight="1" outlineLevel="1" collapsed="1" x14ac:dyDescent="0.25">
      <c r="A112" s="26"/>
      <c r="B112" s="14" t="str">
        <f>CONCATENATE("     ","Travel                                            ")</f>
        <v xml:space="preserve">     Travel                                            </v>
      </c>
      <c r="C112" s="14"/>
      <c r="D112" s="2">
        <f>SUM(OSRRefD22_22x_0)</f>
        <v>136.37</v>
      </c>
      <c r="E112" s="2"/>
      <c r="F112" s="6">
        <f t="shared" si="20"/>
        <v>1.6868215891343704E-4</v>
      </c>
      <c r="G112" s="2"/>
      <c r="H112" s="2">
        <f>SUM(OSRRefH22_22x_0)</f>
        <v>0</v>
      </c>
      <c r="I112" s="2"/>
      <c r="J112" s="6">
        <f t="shared" si="21"/>
        <v>0</v>
      </c>
      <c r="K112" s="2"/>
      <c r="L112" s="2">
        <f t="shared" si="22"/>
        <v>136.37</v>
      </c>
      <c r="M112" s="2"/>
      <c r="N112" s="6">
        <f t="shared" si="23"/>
        <v>0</v>
      </c>
      <c r="O112" s="14"/>
      <c r="P112" s="2">
        <f>SUM(OSRRefP22_22x_0)</f>
        <v>1111.6500000000001</v>
      </c>
      <c r="Q112" s="2"/>
      <c r="R112" s="6">
        <f t="shared" si="24"/>
        <v>8.4696991660913166E-5</v>
      </c>
      <c r="S112" s="2"/>
      <c r="T112" s="2">
        <f>SUM(OSRRefT22_22x_0)</f>
        <v>1200</v>
      </c>
      <c r="U112" s="2"/>
      <c r="V112" s="6">
        <f t="shared" si="25"/>
        <v>1.0986495765621423E-4</v>
      </c>
      <c r="W112" s="2"/>
      <c r="X112" s="2">
        <f t="shared" si="26"/>
        <v>-88.349999999999909</v>
      </c>
      <c r="Y112" s="2"/>
      <c r="Z112" s="6">
        <f t="shared" si="27"/>
        <v>-7.3624999999999927E-2</v>
      </c>
    </row>
    <row r="113" spans="1:26" s="70" customFormat="1" ht="15" hidden="1" customHeight="1" outlineLevel="2" x14ac:dyDescent="0.25">
      <c r="A113" s="25"/>
      <c r="B113" s="12" t="str">
        <f>CONCATENATE("          ","6292"," - ","TRAVEL/CONFERENCE")</f>
        <v xml:space="preserve">          6292 - TRAVEL/CONFERENCE</v>
      </c>
      <c r="C113" s="12"/>
      <c r="D113" s="8">
        <v>15</v>
      </c>
      <c r="E113" s="3"/>
      <c r="F113" s="7">
        <f t="shared" si="20"/>
        <v>1.8554171619135846E-5</v>
      </c>
      <c r="G113" s="3"/>
      <c r="H113" s="8"/>
      <c r="I113" s="3"/>
      <c r="J113" s="7">
        <f t="shared" si="21"/>
        <v>0</v>
      </c>
      <c r="K113" s="3"/>
      <c r="L113" s="8">
        <f t="shared" si="22"/>
        <v>15</v>
      </c>
      <c r="M113" s="3"/>
      <c r="N113" s="7">
        <f t="shared" si="23"/>
        <v>0</v>
      </c>
      <c r="O113" s="12"/>
      <c r="P113" s="8">
        <v>628.59</v>
      </c>
      <c r="Q113" s="3"/>
      <c r="R113" s="7">
        <f t="shared" si="24"/>
        <v>4.7892485933642251E-5</v>
      </c>
      <c r="S113" s="3"/>
      <c r="T113" s="8">
        <v>1200</v>
      </c>
      <c r="U113" s="3"/>
      <c r="V113" s="7">
        <f t="shared" si="25"/>
        <v>1.0986495765621423E-4</v>
      </c>
      <c r="W113" s="3"/>
      <c r="X113" s="8">
        <f t="shared" si="26"/>
        <v>-571.41</v>
      </c>
      <c r="Y113" s="3"/>
      <c r="Z113" s="7">
        <f t="shared" si="27"/>
        <v>-0.47617499999999996</v>
      </c>
    </row>
    <row r="114" spans="1:26" s="70" customFormat="1" ht="15" hidden="1" customHeight="1" outlineLevel="2" x14ac:dyDescent="0.25">
      <c r="A114" s="25"/>
      <c r="B114" s="12" t="str">
        <f>CONCATENATE("          ","6298"," - ","VEHICLE MILEAGE")</f>
        <v xml:space="preserve">          6298 - VEHICLE MILEAGE</v>
      </c>
      <c r="C114" s="12"/>
      <c r="D114" s="8">
        <v>121.37</v>
      </c>
      <c r="E114" s="3"/>
      <c r="F114" s="7">
        <f t="shared" si="20"/>
        <v>1.501279872943012E-4</v>
      </c>
      <c r="G114" s="3"/>
      <c r="H114" s="8"/>
      <c r="I114" s="3"/>
      <c r="J114" s="7">
        <f t="shared" si="21"/>
        <v>0</v>
      </c>
      <c r="K114" s="3"/>
      <c r="L114" s="8">
        <f t="shared" si="22"/>
        <v>121.37</v>
      </c>
      <c r="M114" s="3"/>
      <c r="N114" s="7">
        <f t="shared" si="23"/>
        <v>0</v>
      </c>
      <c r="O114" s="12"/>
      <c r="P114" s="8">
        <v>483.06</v>
      </c>
      <c r="Q114" s="3"/>
      <c r="R114" s="7">
        <f t="shared" si="24"/>
        <v>3.6804505727270915E-5</v>
      </c>
      <c r="S114" s="3"/>
      <c r="T114" s="8"/>
      <c r="U114" s="3"/>
      <c r="V114" s="7">
        <f t="shared" si="25"/>
        <v>0</v>
      </c>
      <c r="W114" s="3"/>
      <c r="X114" s="8">
        <f t="shared" si="26"/>
        <v>483.06</v>
      </c>
      <c r="Y114" s="3"/>
      <c r="Z114" s="7">
        <f t="shared" si="27"/>
        <v>0</v>
      </c>
    </row>
    <row r="115" spans="1:26" s="69" customFormat="1" ht="15" customHeight="1" outlineLevel="1" collapsed="1" x14ac:dyDescent="0.25">
      <c r="A115" s="26"/>
      <c r="B115" s="14" t="str">
        <f>CONCATENATE("     ","Utilities                                         ")</f>
        <v xml:space="preserve">     Utilities                                         </v>
      </c>
      <c r="C115" s="14"/>
      <c r="D115" s="2">
        <f>SUM(OSRRefD22_23x_0)</f>
        <v>29161.68</v>
      </c>
      <c r="E115" s="2"/>
      <c r="F115" s="6">
        <f t="shared" si="20"/>
        <v>3.6071387694821433E-2</v>
      </c>
      <c r="G115" s="2"/>
      <c r="H115" s="2">
        <f>SUM(OSRRefH22_23x_0)</f>
        <v>8667</v>
      </c>
      <c r="I115" s="2"/>
      <c r="J115" s="6">
        <f t="shared" si="21"/>
        <v>1.0187888790148534E-2</v>
      </c>
      <c r="K115" s="2"/>
      <c r="L115" s="2">
        <f t="shared" si="22"/>
        <v>20494.68</v>
      </c>
      <c r="M115" s="2"/>
      <c r="N115" s="6">
        <f t="shared" si="23"/>
        <v>2.364679820006923</v>
      </c>
      <c r="O115" s="14"/>
      <c r="P115" s="2">
        <f>SUM(OSRRefP22_23x_0)</f>
        <v>108261.68</v>
      </c>
      <c r="Q115" s="2"/>
      <c r="R115" s="6">
        <f t="shared" si="24"/>
        <v>8.2484942276403982E-3</v>
      </c>
      <c r="S115" s="2"/>
      <c r="T115" s="2">
        <f>SUM(OSRRefT22_23x_0)</f>
        <v>95337</v>
      </c>
      <c r="U115" s="2"/>
      <c r="V115" s="6">
        <f t="shared" si="25"/>
        <v>8.7284962233920814E-3</v>
      </c>
      <c r="W115" s="2"/>
      <c r="X115" s="2">
        <f t="shared" si="26"/>
        <v>12924.679999999993</v>
      </c>
      <c r="Y115" s="2"/>
      <c r="Z115" s="6">
        <f t="shared" si="27"/>
        <v>0.1355683522661715</v>
      </c>
    </row>
    <row r="116" spans="1:26" s="70" customFormat="1" ht="15" hidden="1" customHeight="1" outlineLevel="2" x14ac:dyDescent="0.25">
      <c r="A116" s="25"/>
      <c r="B116" s="12" t="str">
        <f>CONCATENATE("          ","6274"," - ","UTILITIES")</f>
        <v xml:space="preserve">          6274 - UTILITIES</v>
      </c>
      <c r="C116" s="12"/>
      <c r="D116" s="8">
        <v>29161.68</v>
      </c>
      <c r="E116" s="3"/>
      <c r="F116" s="7">
        <f t="shared" si="20"/>
        <v>3.6071387694821433E-2</v>
      </c>
      <c r="G116" s="3"/>
      <c r="H116" s="8">
        <v>8667</v>
      </c>
      <c r="I116" s="3"/>
      <c r="J116" s="7">
        <f t="shared" si="21"/>
        <v>1.0187888790148534E-2</v>
      </c>
      <c r="K116" s="3"/>
      <c r="L116" s="8">
        <f t="shared" si="22"/>
        <v>20494.68</v>
      </c>
      <c r="M116" s="3"/>
      <c r="N116" s="7">
        <f t="shared" si="23"/>
        <v>2.364679820006923</v>
      </c>
      <c r="O116" s="12"/>
      <c r="P116" s="8">
        <v>108261.68</v>
      </c>
      <c r="Q116" s="3"/>
      <c r="R116" s="7">
        <f t="shared" si="24"/>
        <v>8.2484942276403982E-3</v>
      </c>
      <c r="S116" s="3"/>
      <c r="T116" s="8">
        <v>95337</v>
      </c>
      <c r="U116" s="3"/>
      <c r="V116" s="7">
        <f t="shared" si="25"/>
        <v>8.7284962233920814E-3</v>
      </c>
      <c r="W116" s="3"/>
      <c r="X116" s="8">
        <f t="shared" si="26"/>
        <v>12924.679999999993</v>
      </c>
      <c r="Y116" s="3"/>
      <c r="Z116" s="7">
        <f t="shared" si="27"/>
        <v>0.1355683522661715</v>
      </c>
    </row>
    <row r="117" spans="1:26" s="65" customFormat="1" ht="15" customHeight="1" x14ac:dyDescent="0.25">
      <c r="A117" s="35"/>
      <c r="B117" s="35"/>
      <c r="C117" s="35"/>
      <c r="D117" s="2"/>
      <c r="E117" s="2"/>
      <c r="F117" s="6"/>
      <c r="G117" s="2"/>
      <c r="H117" s="2"/>
      <c r="I117" s="2"/>
      <c r="J117" s="6"/>
      <c r="K117" s="2"/>
      <c r="L117" s="2"/>
      <c r="M117" s="2"/>
      <c r="N117" s="6"/>
      <c r="O117" s="35"/>
      <c r="P117" s="2"/>
      <c r="Q117" s="2"/>
      <c r="R117" s="6"/>
      <c r="S117" s="2"/>
      <c r="T117" s="2"/>
      <c r="U117" s="2"/>
      <c r="V117" s="6"/>
      <c r="W117" s="2"/>
      <c r="X117" s="2"/>
      <c r="Y117" s="2"/>
      <c r="Z117" s="6"/>
    </row>
    <row r="118" spans="1:26" s="63" customFormat="1" ht="15" customHeight="1" collapsed="1" x14ac:dyDescent="0.25">
      <c r="A118" s="11"/>
      <c r="B118" s="27" t="s">
        <v>291</v>
      </c>
      <c r="C118" s="11"/>
      <c r="D118" s="5">
        <f>SUM(OSRRefD25x_0)</f>
        <v>32749.34</v>
      </c>
      <c r="E118" s="5"/>
      <c r="F118" s="13">
        <f>IF(D$12=0,0,D118/D$12)</f>
        <v>4.050912498489536E-2</v>
      </c>
      <c r="G118" s="5"/>
      <c r="H118" s="5">
        <f>SUM(OSRRefH25x_0)</f>
        <v>29120.489999999998</v>
      </c>
      <c r="I118" s="5"/>
      <c r="J118" s="13">
        <f>IF(H$12=0,0,H118/H$12)</f>
        <v>3.4230565782235198E-2</v>
      </c>
      <c r="K118" s="5"/>
      <c r="L118" s="5">
        <f>+D118-H118</f>
        <v>3628.8500000000022</v>
      </c>
      <c r="M118" s="5"/>
      <c r="N118" s="13">
        <f>IF(H118=0,0,L118/H118)</f>
        <v>0.12461500476125238</v>
      </c>
      <c r="O118" s="11"/>
      <c r="P118" s="5">
        <f>SUM(OSRRefP25x_0)</f>
        <v>207885.38</v>
      </c>
      <c r="Q118" s="5"/>
      <c r="R118" s="13">
        <f>IF(P$12=0,0,P118/P$12)</f>
        <v>1.5838857820614189E-2</v>
      </c>
      <c r="S118" s="5"/>
      <c r="T118" s="5">
        <f>SUM(OSRRefT25x_0)</f>
        <v>163853.02000000002</v>
      </c>
      <c r="U118" s="5"/>
      <c r="V118" s="13">
        <f>IF(T$12=0,0,T118/T$12)</f>
        <v>1.5001420920119022E-2</v>
      </c>
      <c r="W118" s="5"/>
      <c r="X118" s="5">
        <f>+P118-T118</f>
        <v>44032.359999999986</v>
      </c>
      <c r="Y118" s="5"/>
      <c r="Z118" s="13">
        <f>IF(T118=0,0,X118/T118)</f>
        <v>0.26873084182397117</v>
      </c>
    </row>
    <row r="119" spans="1:26" s="70" customFormat="1" ht="15" hidden="1" customHeight="1" outlineLevel="1" x14ac:dyDescent="0.25">
      <c r="A119" s="42"/>
      <c r="B119" s="12" t="str">
        <f>CONCATENATE("          ","9150"," - ","MISC. INCOME")</f>
        <v xml:space="preserve">          9150 - MISC. INCOME</v>
      </c>
      <c r="C119" s="12"/>
      <c r="D119" s="3">
        <f>--32749.34</f>
        <v>32749.34</v>
      </c>
      <c r="E119" s="3"/>
      <c r="F119" s="20">
        <f>IF(D$12=0,0,D119/D$12)</f>
        <v>4.050912498489536E-2</v>
      </c>
      <c r="G119" s="3"/>
      <c r="H119" s="3"/>
      <c r="I119" s="3"/>
      <c r="J119" s="20">
        <f>IF(H$12=0,0,H119/H$12)</f>
        <v>0</v>
      </c>
      <c r="K119" s="3"/>
      <c r="L119" s="3">
        <f>+D119-H119</f>
        <v>32749.34</v>
      </c>
      <c r="M119" s="3"/>
      <c r="N119" s="20">
        <f>IF(H119=0,0,L119/H119)</f>
        <v>0</v>
      </c>
      <c r="O119" s="12"/>
      <c r="P119" s="3">
        <f>--207885.38</f>
        <v>207885.38</v>
      </c>
      <c r="Q119" s="3"/>
      <c r="R119" s="20">
        <f>IF(P$12=0,0,P119/P$12)</f>
        <v>1.5838857820614189E-2</v>
      </c>
      <c r="S119" s="3"/>
      <c r="T119" s="3">
        <v>1000</v>
      </c>
      <c r="U119" s="3"/>
      <c r="V119" s="20">
        <f>IF(T$12=0,0,T119/T$12)</f>
        <v>9.1554131380178531E-5</v>
      </c>
      <c r="W119" s="3"/>
      <c r="X119" s="3">
        <f>+P119-T119</f>
        <v>206885.38</v>
      </c>
      <c r="Y119" s="3"/>
      <c r="Z119" s="20">
        <f>IF(T119=0,0,X119/T119)</f>
        <v>206.88538</v>
      </c>
    </row>
    <row r="120" spans="1:26" s="70" customFormat="1" ht="15" hidden="1" customHeight="1" outlineLevel="1" x14ac:dyDescent="0.25">
      <c r="A120" s="42"/>
      <c r="B120" s="12" t="str">
        <f>CONCATENATE("          ","9151"," - ","MISC. INCOME")</f>
        <v xml:space="preserve">          9151 - MISC. INCOME</v>
      </c>
      <c r="C120" s="12"/>
      <c r="D120" s="3">
        <f>0</f>
        <v>0</v>
      </c>
      <c r="E120" s="3"/>
      <c r="F120" s="20">
        <f>IF(D$12=0,0,D120/D$12)</f>
        <v>0</v>
      </c>
      <c r="G120" s="3"/>
      <c r="H120" s="3">
        <v>14541.98</v>
      </c>
      <c r="I120" s="3"/>
      <c r="J120" s="20">
        <f>IF(H$12=0,0,H120/H$12)</f>
        <v>1.7093812741267356E-2</v>
      </c>
      <c r="K120" s="3"/>
      <c r="L120" s="3">
        <f>+D120-H120</f>
        <v>-14541.98</v>
      </c>
      <c r="M120" s="3"/>
      <c r="N120" s="20">
        <f>IF(H120=0,0,L120/H120)</f>
        <v>-1</v>
      </c>
      <c r="O120" s="12"/>
      <c r="P120" s="3">
        <f>0</f>
        <v>0</v>
      </c>
      <c r="Q120" s="3"/>
      <c r="R120" s="20">
        <f>IF(P$12=0,0,P120/P$12)</f>
        <v>0</v>
      </c>
      <c r="S120" s="3"/>
      <c r="T120" s="3">
        <v>71840.89</v>
      </c>
      <c r="U120" s="3"/>
      <c r="V120" s="20">
        <f>IF(T$12=0,0,T120/T$12)</f>
        <v>6.577330281528954E-3</v>
      </c>
      <c r="W120" s="3"/>
      <c r="X120" s="3">
        <f>+P120-T120</f>
        <v>-71840.89</v>
      </c>
      <c r="Y120" s="3"/>
      <c r="Z120" s="20">
        <f>IF(T120=0,0,X120/T120)</f>
        <v>-1</v>
      </c>
    </row>
    <row r="121" spans="1:26" s="70" customFormat="1" ht="15" hidden="1" customHeight="1" outlineLevel="1" x14ac:dyDescent="0.25">
      <c r="A121" s="42"/>
      <c r="B121" s="12" t="str">
        <f>CONCATENATE("          ","9160"," - ","MISC. INCOME")</f>
        <v xml:space="preserve">          9160 - MISC. INCOME</v>
      </c>
      <c r="C121" s="12"/>
      <c r="D121" s="3">
        <f>0</f>
        <v>0</v>
      </c>
      <c r="E121" s="3"/>
      <c r="F121" s="20">
        <f>IF(D$12=0,0,D121/D$12)</f>
        <v>0</v>
      </c>
      <c r="G121" s="3"/>
      <c r="H121" s="3">
        <v>14578.51</v>
      </c>
      <c r="I121" s="3"/>
      <c r="J121" s="20">
        <f>IF(H$12=0,0,H121/H$12)</f>
        <v>1.7136753040967845E-2</v>
      </c>
      <c r="K121" s="3"/>
      <c r="L121" s="3">
        <f>+D121-H121</f>
        <v>-14578.51</v>
      </c>
      <c r="M121" s="3"/>
      <c r="N121" s="20">
        <f>IF(H121=0,0,L121/H121)</f>
        <v>-1</v>
      </c>
      <c r="O121" s="12"/>
      <c r="P121" s="3">
        <f>0</f>
        <v>0</v>
      </c>
      <c r="Q121" s="3"/>
      <c r="R121" s="20">
        <f>IF(P$12=0,0,P121/P$12)</f>
        <v>0</v>
      </c>
      <c r="S121" s="3"/>
      <c r="T121" s="3">
        <v>91012.13</v>
      </c>
      <c r="U121" s="3"/>
      <c r="V121" s="20">
        <f>IF(T$12=0,0,T121/T$12)</f>
        <v>8.3325365072098884E-3</v>
      </c>
      <c r="W121" s="3"/>
      <c r="X121" s="3">
        <f>+P121-T121</f>
        <v>-91012.13</v>
      </c>
      <c r="Y121" s="3"/>
      <c r="Z121" s="20">
        <f>IF(T121=0,0,X121/T121)</f>
        <v>-1</v>
      </c>
    </row>
    <row r="122" spans="1:26" s="70" customFormat="1" ht="15" hidden="1" customHeight="1" outlineLevel="1" x14ac:dyDescent="0.25">
      <c r="A122" s="42"/>
      <c r="B122" s="12" t="str">
        <f>CONCATENATE("          ","9165"," - ","OTHER INCOME")</f>
        <v xml:space="preserve">          9165 - OTHER INCOME</v>
      </c>
      <c r="C122" s="12"/>
      <c r="D122" s="3">
        <f>0</f>
        <v>0</v>
      </c>
      <c r="E122" s="3"/>
      <c r="F122" s="20">
        <f>IF(D$12=0,0,D122/D$12)</f>
        <v>0</v>
      </c>
      <c r="G122" s="3"/>
      <c r="H122" s="3"/>
      <c r="I122" s="3"/>
      <c r="J122" s="20">
        <f>IF(H$12=0,0,H122/H$12)</f>
        <v>0</v>
      </c>
      <c r="K122" s="3"/>
      <c r="L122" s="3">
        <f>+D122-H122</f>
        <v>0</v>
      </c>
      <c r="M122" s="3"/>
      <c r="N122" s="20">
        <f>IF(H122=0,0,L122/H122)</f>
        <v>0</v>
      </c>
      <c r="O122" s="12"/>
      <c r="P122" s="3">
        <f>0</f>
        <v>0</v>
      </c>
      <c r="Q122" s="3"/>
      <c r="R122" s="20">
        <f>IF(P$12=0,0,P122/P$12)</f>
        <v>0</v>
      </c>
      <c r="S122" s="3"/>
      <c r="T122" s="3"/>
      <c r="U122" s="3"/>
      <c r="V122" s="20">
        <f>IF(T$12=0,0,T122/T$12)</f>
        <v>0</v>
      </c>
      <c r="W122" s="3"/>
      <c r="X122" s="3">
        <f>+P122-T122</f>
        <v>0</v>
      </c>
      <c r="Y122" s="3"/>
      <c r="Z122" s="20">
        <f>IF(T122=0,0,X122/T122)</f>
        <v>0</v>
      </c>
    </row>
    <row r="123" spans="1:26" ht="15" customHeight="1" x14ac:dyDescent="0.25">
      <c r="A123" s="10"/>
      <c r="B123" s="11"/>
      <c r="C123" s="11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O123" s="11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25">
      <c r="A124" s="11"/>
      <c r="B124" s="28" t="s">
        <v>292</v>
      </c>
      <c r="C124" s="28"/>
      <c r="D124" s="22">
        <f>+D27-D29+D118</f>
        <v>-9428.3000000001302</v>
      </c>
      <c r="E124" s="15"/>
      <c r="F124" s="21">
        <f>IF(D$12=0,0,D124/D$12)</f>
        <v>-1.1662286418446728E-2</v>
      </c>
      <c r="G124" s="15"/>
      <c r="H124" s="22">
        <f>+H27-H29+H118</f>
        <v>-2951.9436412787691</v>
      </c>
      <c r="I124" s="15"/>
      <c r="J124" s="21">
        <f>IF(H$12=0,0,H124/H$12)</f>
        <v>-3.4699519478636454E-3</v>
      </c>
      <c r="K124" s="16"/>
      <c r="L124" s="22">
        <f>+D124-H124</f>
        <v>-6476.3563587213612</v>
      </c>
      <c r="M124" s="16"/>
      <c r="N124" s="21">
        <f>IF(H124=0,0,L124/H124)</f>
        <v>2.1939295412550059</v>
      </c>
      <c r="O124" s="27"/>
      <c r="P124" s="22">
        <f>+P27-P29+P118</f>
        <v>2724436.8000000007</v>
      </c>
      <c r="Q124" s="15"/>
      <c r="R124" s="21">
        <f>IF(P$12=0,0,P124/P$12)</f>
        <v>0.20757576659046012</v>
      </c>
      <c r="S124" s="15"/>
      <c r="T124" s="22">
        <f>+T27-T29+T118</f>
        <v>171981.72381615313</v>
      </c>
      <c r="U124" s="15"/>
      <c r="V124" s="21">
        <f>IF(T$12=0,0,T124/T$12)</f>
        <v>1.5745637337253662E-2</v>
      </c>
      <c r="W124" s="16"/>
      <c r="X124" s="22">
        <f>+P124-T124</f>
        <v>2552455.0761838476</v>
      </c>
      <c r="Y124" s="16"/>
      <c r="Z124" s="21">
        <f>IF(T124=0,0,X124/T124)</f>
        <v>14.841432098403656</v>
      </c>
    </row>
    <row r="125" spans="1:26" ht="15" customHeight="1" x14ac:dyDescent="0.25">
      <c r="A125" s="10"/>
      <c r="B125" s="11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3" customFormat="1" ht="15" customHeight="1" x14ac:dyDescent="0.25">
      <c r="A126" s="49"/>
      <c r="B126" s="11" t="s">
        <v>293</v>
      </c>
      <c r="C126" s="11"/>
      <c r="D126" s="5">
        <v>80315.45</v>
      </c>
      <c r="E126" s="5"/>
      <c r="F126" s="13">
        <f>IF(D$12=0,0,D126/D$12)</f>
        <v>9.9345776197874935E-2</v>
      </c>
      <c r="G126" s="5"/>
      <c r="H126" s="5">
        <v>115001</v>
      </c>
      <c r="I126" s="5"/>
      <c r="J126" s="13">
        <f>IF(H$12=0,0,H126/H$12)</f>
        <v>0.13518142364784488</v>
      </c>
      <c r="K126" s="5"/>
      <c r="L126" s="5">
        <f>+D126-H126</f>
        <v>-34685.550000000003</v>
      </c>
      <c r="M126" s="5"/>
      <c r="N126" s="13">
        <f>IF(H126=0,0,L126/H126)</f>
        <v>-0.30161085555777778</v>
      </c>
      <c r="O126" s="11"/>
      <c r="P126" s="5">
        <v>1475585.41</v>
      </c>
      <c r="Q126" s="5"/>
      <c r="R126" s="13">
        <f>IF(P$12=0,0,P126/P$12)</f>
        <v>0.11242535435230075</v>
      </c>
      <c r="S126" s="5"/>
      <c r="T126" s="5">
        <v>1353976</v>
      </c>
      <c r="U126" s="5"/>
      <c r="V126" s="13">
        <f>IF(T$12=0,0,T126/T$12)</f>
        <v>0.12396209658960861</v>
      </c>
      <c r="W126" s="5"/>
      <c r="X126" s="5">
        <f>+P126-T126</f>
        <v>121609.40999999992</v>
      </c>
      <c r="Y126" s="5"/>
      <c r="Z126" s="13">
        <f>IF(T126=0,0,X126/T126)</f>
        <v>8.9816518165757683E-2</v>
      </c>
    </row>
    <row r="127" spans="1:26" ht="15" customHeight="1" x14ac:dyDescent="0.25">
      <c r="A127" s="10"/>
      <c r="B127" s="11"/>
      <c r="C127" s="11"/>
      <c r="D127" s="4"/>
      <c r="E127" s="4"/>
      <c r="F127" s="9"/>
      <c r="G127" s="4"/>
      <c r="H127" s="4"/>
      <c r="I127" s="4"/>
      <c r="J127" s="9"/>
      <c r="K127" s="4"/>
      <c r="L127" s="4"/>
      <c r="M127" s="4"/>
      <c r="N127" s="9"/>
      <c r="O127" s="11"/>
      <c r="P127" s="4"/>
      <c r="Q127" s="4"/>
      <c r="R127" s="9"/>
      <c r="S127" s="4"/>
      <c r="T127" s="4"/>
      <c r="U127" s="4"/>
      <c r="V127" s="9"/>
      <c r="W127" s="4"/>
      <c r="X127" s="4"/>
      <c r="Y127" s="4"/>
      <c r="Z127" s="9"/>
    </row>
    <row r="128" spans="1:26" s="63" customFormat="1" ht="15" customHeight="1" x14ac:dyDescent="0.25">
      <c r="A128" s="11"/>
      <c r="B128" s="28" t="s">
        <v>294</v>
      </c>
      <c r="C128" s="28"/>
      <c r="D128" s="34">
        <f>+D124-D126</f>
        <v>-89743.750000000131</v>
      </c>
      <c r="E128" s="15"/>
      <c r="F128" s="32">
        <f>IF(D$12=0,0,D128/D$12)</f>
        <v>-0.11100806261632166</v>
      </c>
      <c r="G128" s="15"/>
      <c r="H128" s="34">
        <f>+H124-H126</f>
        <v>-117952.94364127878</v>
      </c>
      <c r="I128" s="15"/>
      <c r="J128" s="32">
        <f>IF(H$12=0,0,H128/H$12)</f>
        <v>-0.13865137559570853</v>
      </c>
      <c r="K128" s="16"/>
      <c r="L128" s="34">
        <f>D128-H128</f>
        <v>28209.193641278645</v>
      </c>
      <c r="M128" s="16"/>
      <c r="N128" s="32">
        <f>IF(H128=0,0,L128/H128)</f>
        <v>-0.23915633447071147</v>
      </c>
      <c r="O128" s="27"/>
      <c r="P128" s="34">
        <f>+P124-P126</f>
        <v>1248851.3900000008</v>
      </c>
      <c r="Q128" s="15"/>
      <c r="R128" s="32">
        <f>IF(P$12=0,0,P128/P$12)</f>
        <v>9.5150412238159385E-2</v>
      </c>
      <c r="S128" s="15"/>
      <c r="T128" s="34">
        <f>+T124-T126</f>
        <v>-1181994.2761838469</v>
      </c>
      <c r="U128" s="15"/>
      <c r="V128" s="32">
        <f>IF(T$12=0,0,T128/T$12)</f>
        <v>-0.10821645925235494</v>
      </c>
      <c r="W128" s="16"/>
      <c r="X128" s="34">
        <f>P128-T128</f>
        <v>2430845.6661838479</v>
      </c>
      <c r="Y128" s="16"/>
      <c r="Z128" s="32">
        <f>IF(T128=0,0,X128/T128)</f>
        <v>-2.0565629759494328</v>
      </c>
    </row>
    <row r="129" spans="1:26" ht="15" customHeight="1" x14ac:dyDescent="0.25">
      <c r="A129" s="10"/>
      <c r="B129" s="10"/>
      <c r="C129" s="10"/>
      <c r="D129" s="4"/>
      <c r="E129" s="4"/>
      <c r="F129" s="9"/>
      <c r="G129" s="4"/>
      <c r="H129" s="4"/>
      <c r="I129" s="4"/>
      <c r="J129" s="9"/>
      <c r="K129" s="4"/>
      <c r="L129" s="4"/>
      <c r="M129" s="4"/>
      <c r="N129" s="9"/>
      <c r="P129" s="4"/>
      <c r="Q129" s="4"/>
      <c r="R129" s="9"/>
      <c r="S129" s="4"/>
      <c r="T129" s="4"/>
      <c r="U129" s="4"/>
      <c r="V129" s="9"/>
      <c r="W129" s="4"/>
      <c r="X129" s="4"/>
      <c r="Y129" s="4"/>
      <c r="Z129" s="9"/>
    </row>
    <row r="130" spans="1:26" ht="15" customHeight="1" x14ac:dyDescent="0.25">
      <c r="A130" s="10"/>
      <c r="B130" s="10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25">
      <c r="A131" s="11"/>
      <c r="B131" s="28" t="s">
        <v>297</v>
      </c>
      <c r="C131" s="28"/>
      <c r="D131" s="30">
        <f>SUM(D128:D130)</f>
        <v>-89743.750000000131</v>
      </c>
      <c r="E131" s="15"/>
      <c r="F131" s="33">
        <f>IF(D$12=0,0,D131/D$12)</f>
        <v>-0.11100806261632166</v>
      </c>
      <c r="G131" s="15"/>
      <c r="H131" s="30">
        <f>SUM(H128:H130)</f>
        <v>-117952.94364127878</v>
      </c>
      <c r="I131" s="15"/>
      <c r="J131" s="33">
        <f>IF(H$12=0,0,H131/H$12)</f>
        <v>-0.13865137559570853</v>
      </c>
      <c r="K131" s="16"/>
      <c r="L131" s="30">
        <f>+D131-H131</f>
        <v>28209.193641278645</v>
      </c>
      <c r="M131" s="16"/>
      <c r="N131" s="33">
        <f>IF(H131=0,0,L131/H131)</f>
        <v>-0.23915633447071147</v>
      </c>
      <c r="O131" s="27"/>
      <c r="P131" s="30">
        <f>SUM(P128:P130)</f>
        <v>1248851.3900000008</v>
      </c>
      <c r="Q131" s="15"/>
      <c r="R131" s="33">
        <f>IF(P$12=0,0,P131/P$12)</f>
        <v>9.5150412238159385E-2</v>
      </c>
      <c r="S131" s="15"/>
      <c r="T131" s="30">
        <f>SUM(T128:T130)</f>
        <v>-1181994.2761838469</v>
      </c>
      <c r="U131" s="15"/>
      <c r="V131" s="33">
        <f>IF(T$12=0,0,T131/T$12)</f>
        <v>-0.10821645925235494</v>
      </c>
      <c r="W131" s="16"/>
      <c r="X131" s="30">
        <f>+P131-T131</f>
        <v>2430845.6661838479</v>
      </c>
      <c r="Y131" s="16"/>
      <c r="Z131" s="33">
        <f>IF(T131=0,0,X131/T131)</f>
        <v>-2.0565629759494328</v>
      </c>
    </row>
    <row r="132" spans="1:26" ht="15" customHeight="1" x14ac:dyDescent="0.25">
      <c r="A132" s="10"/>
      <c r="C132" s="10"/>
      <c r="D132" s="18"/>
      <c r="E132" s="18"/>
      <c r="G132" s="18"/>
      <c r="H132" s="18"/>
      <c r="I132" s="18"/>
      <c r="J132" s="40"/>
      <c r="K132" s="18"/>
      <c r="L132" s="18"/>
      <c r="M132" s="18"/>
      <c r="P132" s="18"/>
      <c r="Q132" s="18"/>
      <c r="R132" s="40"/>
      <c r="S132" s="18"/>
      <c r="T132" s="18"/>
      <c r="U132" s="18"/>
      <c r="V132" s="40"/>
      <c r="W132" s="18"/>
      <c r="X132" s="18"/>
    </row>
    <row r="133" spans="1:26" ht="15" customHeight="1" x14ac:dyDescent="0.25">
      <c r="A133" s="10"/>
      <c r="B133" s="54">
        <v>44727.874508680557</v>
      </c>
      <c r="D133" s="18"/>
      <c r="E133" s="18"/>
      <c r="G133" s="18"/>
      <c r="H133" s="18"/>
      <c r="I133" s="18"/>
      <c r="J133" s="40"/>
      <c r="K133" s="18"/>
      <c r="L133" s="18"/>
      <c r="M133" s="18"/>
      <c r="P133" s="18"/>
      <c r="Q133" s="18"/>
      <c r="R133" s="40"/>
      <c r="S133" s="18"/>
      <c r="T133" s="18"/>
      <c r="U133" s="18"/>
      <c r="V133" s="40"/>
      <c r="W133" s="18"/>
      <c r="X133" s="18"/>
    </row>
    <row r="134" spans="1:26" ht="15" customHeight="1" x14ac:dyDescent="0.25">
      <c r="A134" s="10"/>
      <c r="B134" s="50" t="s">
        <v>298</v>
      </c>
      <c r="D134" s="18"/>
      <c r="E134" s="18"/>
      <c r="G134" s="18"/>
      <c r="H134" s="18"/>
      <c r="I134" s="18"/>
      <c r="J134" s="40"/>
      <c r="K134" s="18"/>
      <c r="L134" s="18"/>
      <c r="M134" s="18"/>
      <c r="P134" s="18"/>
      <c r="Q134" s="18"/>
      <c r="R134" s="40"/>
      <c r="S134" s="18"/>
      <c r="T134" s="18"/>
      <c r="U134" s="18"/>
      <c r="V134" s="40"/>
      <c r="W134" s="18"/>
      <c r="X134" s="18"/>
    </row>
    <row r="135" spans="1:26" ht="15" customHeight="1" x14ac:dyDescent="0.25">
      <c r="A135" s="10"/>
      <c r="B135" s="58"/>
      <c r="D135" s="18"/>
      <c r="E135" s="18"/>
      <c r="G135" s="18"/>
      <c r="H135" s="18"/>
      <c r="I135" s="18"/>
      <c r="J135" s="40"/>
      <c r="K135" s="18"/>
      <c r="L135" s="18"/>
      <c r="M135" s="18"/>
      <c r="P135" s="18"/>
      <c r="Q135" s="18"/>
      <c r="R135" s="40"/>
      <c r="S135" s="18"/>
      <c r="T135" s="18"/>
      <c r="U135" s="18"/>
      <c r="V135" s="40"/>
      <c r="W135" s="18"/>
      <c r="X135" s="18"/>
    </row>
    <row r="136" spans="1:26" ht="15" customHeight="1" x14ac:dyDescent="0.25">
      <c r="D136" s="18"/>
      <c r="E136" s="18"/>
      <c r="G136" s="18"/>
      <c r="H136" s="18"/>
      <c r="I136" s="18"/>
      <c r="J136" s="40"/>
      <c r="K136" s="18"/>
      <c r="L136" s="18"/>
      <c r="M136" s="18"/>
      <c r="P136" s="18"/>
      <c r="Q136" s="18"/>
      <c r="R136" s="40"/>
      <c r="S136" s="18"/>
      <c r="T136" s="18"/>
      <c r="U136" s="18"/>
      <c r="V136" s="40"/>
      <c r="W136" s="18"/>
      <c r="X13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7EF09-6273-80F1-5657-43098AE8B1E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299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2BA7E-C26E-40EE-E276-FC229A012E38}">
  <sheetPr>
    <tabColor theme="5" tint="0.39997558519241921"/>
    <outlinePr summaryBelow="0" summaryRight="0"/>
  </sheetPr>
  <dimension ref="A2:Z130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311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205367.38999999998</v>
      </c>
      <c r="E12" s="5"/>
      <c r="F12" s="13"/>
      <c r="G12" s="5"/>
      <c r="H12" s="5">
        <f>SUM(OSRRefH13x_0)</f>
        <v>288686</v>
      </c>
      <c r="I12" s="5"/>
      <c r="J12" s="13"/>
      <c r="K12" s="5"/>
      <c r="L12" s="5">
        <f t="shared" ref="L12:L18" si="0">+D12-H12</f>
        <v>-83318.610000000015</v>
      </c>
      <c r="M12" s="5"/>
      <c r="N12" s="13">
        <f t="shared" ref="N12:N18" si="1">IF(H12=0,0,L12/H12)</f>
        <v>-0.28861326839541929</v>
      </c>
      <c r="O12" s="11"/>
      <c r="P12" s="5">
        <f>SUM(OSRRefP13x_0)</f>
        <v>2007444.5299999998</v>
      </c>
      <c r="Q12" s="5"/>
      <c r="R12" s="13"/>
      <c r="S12" s="5"/>
      <c r="T12" s="5">
        <f>SUM(OSRRefT13x_0)</f>
        <v>2556984</v>
      </c>
      <c r="U12" s="5"/>
      <c r="V12" s="13"/>
      <c r="W12" s="5"/>
      <c r="X12" s="5">
        <f t="shared" ref="X12:X18" si="2">+P12-T12</f>
        <v>-549539.4700000002</v>
      </c>
      <c r="Y12" s="5"/>
      <c r="Z12" s="13">
        <f t="shared" ref="Z12:Z18" si="3">IF(T12=0,0,X12/T12)</f>
        <v>-0.21491705462372865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--13320.29</f>
        <v>13320.29</v>
      </c>
      <c r="E13" s="3"/>
      <c r="F13" s="20"/>
      <c r="G13" s="3"/>
      <c r="H13" s="3">
        <v>116046</v>
      </c>
      <c r="I13" s="3"/>
      <c r="J13" s="20"/>
      <c r="K13" s="3"/>
      <c r="L13" s="3">
        <f t="shared" si="0"/>
        <v>-102725.70999999999</v>
      </c>
      <c r="M13" s="3"/>
      <c r="N13" s="20">
        <f t="shared" si="1"/>
        <v>-0.88521543181152296</v>
      </c>
      <c r="O13" s="12"/>
      <c r="P13" s="3">
        <f>--75732.04</f>
        <v>75732.039999999994</v>
      </c>
      <c r="Q13" s="3"/>
      <c r="R13" s="20"/>
      <c r="S13" s="3"/>
      <c r="T13" s="3">
        <v>930539</v>
      </c>
      <c r="U13" s="3"/>
      <c r="V13" s="20"/>
      <c r="W13" s="3"/>
      <c r="X13" s="3">
        <f t="shared" si="2"/>
        <v>-854806.96</v>
      </c>
      <c r="Y13" s="3"/>
      <c r="Z13" s="20">
        <f t="shared" si="3"/>
        <v>-0.91861486729734054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--27103.03</f>
        <v>27103.03</v>
      </c>
      <c r="E14" s="3"/>
      <c r="F14" s="20"/>
      <c r="G14" s="3"/>
      <c r="H14" s="3"/>
      <c r="I14" s="3"/>
      <c r="J14" s="20"/>
      <c r="K14" s="3"/>
      <c r="L14" s="3">
        <f t="shared" si="0"/>
        <v>27103.03</v>
      </c>
      <c r="M14" s="3"/>
      <c r="N14" s="20">
        <f t="shared" si="1"/>
        <v>0</v>
      </c>
      <c r="O14" s="12"/>
      <c r="P14" s="3">
        <f>--346036.45</f>
        <v>346036.45</v>
      </c>
      <c r="Q14" s="3"/>
      <c r="R14" s="20"/>
      <c r="S14" s="3"/>
      <c r="T14" s="3"/>
      <c r="U14" s="3"/>
      <c r="V14" s="20"/>
      <c r="W14" s="3"/>
      <c r="X14" s="3">
        <f t="shared" si="2"/>
        <v>346036.45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--769.16</f>
        <v>769.16</v>
      </c>
      <c r="E15" s="3"/>
      <c r="F15" s="20"/>
      <c r="G15" s="3"/>
      <c r="H15" s="3"/>
      <c r="I15" s="3"/>
      <c r="J15" s="20"/>
      <c r="K15" s="3"/>
      <c r="L15" s="3">
        <f t="shared" si="0"/>
        <v>769.16</v>
      </c>
      <c r="M15" s="3"/>
      <c r="N15" s="20">
        <f t="shared" si="1"/>
        <v>0</v>
      </c>
      <c r="O15" s="12"/>
      <c r="P15" s="3">
        <f>--26572.31</f>
        <v>26572.31</v>
      </c>
      <c r="Q15" s="3"/>
      <c r="R15" s="20"/>
      <c r="S15" s="3"/>
      <c r="T15" s="3"/>
      <c r="U15" s="3"/>
      <c r="V15" s="20"/>
      <c r="W15" s="3"/>
      <c r="X15" s="3">
        <f t="shared" si="2"/>
        <v>26572.31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--72823.23</f>
        <v>72823.23</v>
      </c>
      <c r="E16" s="3"/>
      <c r="F16" s="20"/>
      <c r="G16" s="3"/>
      <c r="H16" s="3">
        <v>172640</v>
      </c>
      <c r="I16" s="3"/>
      <c r="J16" s="20"/>
      <c r="K16" s="3"/>
      <c r="L16" s="3">
        <f t="shared" si="0"/>
        <v>-99816.77</v>
      </c>
      <c r="M16" s="3"/>
      <c r="N16" s="20">
        <f t="shared" si="1"/>
        <v>-0.57817869555143653</v>
      </c>
      <c r="O16" s="12"/>
      <c r="P16" s="3">
        <f>--420173.32</f>
        <v>420173.32</v>
      </c>
      <c r="Q16" s="3"/>
      <c r="R16" s="20"/>
      <c r="S16" s="3"/>
      <c r="T16" s="3">
        <v>1626445</v>
      </c>
      <c r="U16" s="3"/>
      <c r="V16" s="20"/>
      <c r="W16" s="3"/>
      <c r="X16" s="3">
        <f t="shared" si="2"/>
        <v>-1206271.68</v>
      </c>
      <c r="Y16" s="3"/>
      <c r="Z16" s="20">
        <f t="shared" si="3"/>
        <v>-0.74166152559723808</v>
      </c>
    </row>
    <row r="17" spans="1:26" s="70" customFormat="1" ht="15" hidden="1" customHeight="1" outlineLevel="1" x14ac:dyDescent="0.25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--91351.68</f>
        <v>91351.679999999993</v>
      </c>
      <c r="E17" s="3"/>
      <c r="F17" s="20"/>
      <c r="G17" s="3"/>
      <c r="H17" s="3"/>
      <c r="I17" s="3"/>
      <c r="J17" s="20"/>
      <c r="K17" s="3"/>
      <c r="L17" s="3">
        <f t="shared" si="0"/>
        <v>91351.679999999993</v>
      </c>
      <c r="M17" s="3"/>
      <c r="N17" s="20">
        <f t="shared" si="1"/>
        <v>0</v>
      </c>
      <c r="O17" s="12"/>
      <c r="P17" s="3">
        <f>--1138930.41</f>
        <v>1138930.4099999999</v>
      </c>
      <c r="Q17" s="3"/>
      <c r="R17" s="20"/>
      <c r="S17" s="3"/>
      <c r="T17" s="3"/>
      <c r="U17" s="3"/>
      <c r="V17" s="20"/>
      <c r="W17" s="3"/>
      <c r="X17" s="3">
        <f t="shared" si="2"/>
        <v>1138930.4099999999</v>
      </c>
      <c r="Y17" s="3"/>
      <c r="Z17" s="20">
        <f t="shared" si="3"/>
        <v>0</v>
      </c>
    </row>
    <row r="18" spans="1:26" s="70" customFormat="1" ht="15" hidden="1" customHeight="1" outlineLevel="1" x14ac:dyDescent="0.25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25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25">
      <c r="A20" s="11"/>
      <c r="B20" s="27" t="s">
        <v>288</v>
      </c>
      <c r="C20" s="11"/>
      <c r="D20" s="5">
        <f>SUM(OSRRefD16x_0)</f>
        <v>110557.45</v>
      </c>
      <c r="E20" s="5"/>
      <c r="F20" s="13">
        <f>IF(D$12=0,0,D20/D$12)</f>
        <v>0.53833985035306731</v>
      </c>
      <c r="G20" s="5"/>
      <c r="H20" s="5">
        <f>SUM(OSRRefH16x_0)</f>
        <v>106228</v>
      </c>
      <c r="I20" s="5"/>
      <c r="J20" s="13">
        <f>IF(H$12=0,0,H20/H$12)</f>
        <v>0.36797073637100519</v>
      </c>
      <c r="K20" s="5"/>
      <c r="L20" s="5">
        <f>+D20-H20</f>
        <v>4329.4499999999971</v>
      </c>
      <c r="M20" s="5"/>
      <c r="N20" s="13">
        <f>IF(H20=0,0,L20/H20)</f>
        <v>4.0756203637459021E-2</v>
      </c>
      <c r="O20" s="11"/>
      <c r="P20" s="5">
        <f>SUM(OSRRefP16x_0)</f>
        <v>815800.03</v>
      </c>
      <c r="Q20" s="5"/>
      <c r="R20" s="13">
        <f>IF(P$12=0,0,P20/P$12)</f>
        <v>0.40638733365150576</v>
      </c>
      <c r="S20" s="5"/>
      <c r="T20" s="5">
        <f>SUM(OSRRefT16x_0)</f>
        <v>952571</v>
      </c>
      <c r="U20" s="5"/>
      <c r="V20" s="13">
        <f>IF(T$12=0,0,T20/T$12)</f>
        <v>0.37253694195974635</v>
      </c>
      <c r="W20" s="5"/>
      <c r="X20" s="5">
        <f>+P20-T20</f>
        <v>-136770.96999999997</v>
      </c>
      <c r="Y20" s="5"/>
      <c r="Z20" s="13">
        <f>IF(T20=0,0,X20/T20)</f>
        <v>-0.14358086693800248</v>
      </c>
    </row>
    <row r="21" spans="1:26" s="70" customFormat="1" ht="15" hidden="1" customHeight="1" outlineLevel="1" x14ac:dyDescent="0.25">
      <c r="A21" s="42"/>
      <c r="B21" s="12" t="str">
        <f>CONCATENATE("          ","5000"," - ","PURCHASES @ COST")</f>
        <v xml:space="preserve">          5000 - PURCHASES @ COST</v>
      </c>
      <c r="C21" s="12"/>
      <c r="D21" s="3">
        <v>0</v>
      </c>
      <c r="E21" s="3"/>
      <c r="F21" s="20">
        <f>IF(D$12=0,0,D21/D$12)</f>
        <v>0</v>
      </c>
      <c r="G21" s="3"/>
      <c r="H21" s="3">
        <v>106228</v>
      </c>
      <c r="I21" s="3"/>
      <c r="J21" s="20">
        <f>IF(H$12=0,0,H21/H$12)</f>
        <v>0.36797073637100519</v>
      </c>
      <c r="K21" s="3"/>
      <c r="L21" s="3">
        <f>+D21-H21</f>
        <v>-106228</v>
      </c>
      <c r="M21" s="3"/>
      <c r="N21" s="20">
        <f>IF(H21=0,0,L21/H21)</f>
        <v>-1</v>
      </c>
      <c r="O21" s="12"/>
      <c r="P21" s="3">
        <v>-8062</v>
      </c>
      <c r="Q21" s="3"/>
      <c r="R21" s="20">
        <f>IF(P$12=0,0,P21/P$12)</f>
        <v>-4.0160511932053238E-3</v>
      </c>
      <c r="S21" s="3"/>
      <c r="T21" s="3">
        <v>952571</v>
      </c>
      <c r="U21" s="3"/>
      <c r="V21" s="20">
        <f>IF(T$12=0,0,T21/T$12)</f>
        <v>0.37253694195974635</v>
      </c>
      <c r="W21" s="3"/>
      <c r="X21" s="3">
        <f>+P21-T21</f>
        <v>-960633</v>
      </c>
      <c r="Y21" s="3"/>
      <c r="Z21" s="20">
        <f>IF(T21=0,0,X21/T21)</f>
        <v>-1.0084634111263098</v>
      </c>
    </row>
    <row r="22" spans="1:26" s="70" customFormat="1" ht="15" hidden="1" customHeight="1" outlineLevel="1" x14ac:dyDescent="0.25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71173.48</v>
      </c>
      <c r="E22" s="3"/>
      <c r="F22" s="20">
        <f>IF(D$12=0,0,D22/D$12)</f>
        <v>0.34656660923625704</v>
      </c>
      <c r="G22" s="3"/>
      <c r="H22" s="3"/>
      <c r="I22" s="3"/>
      <c r="J22" s="20">
        <f>IF(H$12=0,0,H22/H$12)</f>
        <v>0</v>
      </c>
      <c r="K22" s="3"/>
      <c r="L22" s="3">
        <f>+D22-H22</f>
        <v>71173.48</v>
      </c>
      <c r="M22" s="3"/>
      <c r="N22" s="20">
        <f>IF(H22=0,0,L22/H22)</f>
        <v>0</v>
      </c>
      <c r="O22" s="12"/>
      <c r="P22" s="3">
        <v>550792.88</v>
      </c>
      <c r="Q22" s="3"/>
      <c r="R22" s="20">
        <f>IF(P$12=0,0,P22/P$12)</f>
        <v>0.27437514300831023</v>
      </c>
      <c r="S22" s="3"/>
      <c r="T22" s="3"/>
      <c r="U22" s="3"/>
      <c r="V22" s="20">
        <f>IF(T$12=0,0,T22/T$12)</f>
        <v>0</v>
      </c>
      <c r="W22" s="3"/>
      <c r="X22" s="3">
        <f>+P22-T22</f>
        <v>550792.88</v>
      </c>
      <c r="Y22" s="3"/>
      <c r="Z22" s="20">
        <f>IF(T22=0,0,X22/T22)</f>
        <v>0</v>
      </c>
    </row>
    <row r="23" spans="1:26" s="70" customFormat="1" ht="15" hidden="1" customHeight="1" outlineLevel="1" x14ac:dyDescent="0.25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39383.97</v>
      </c>
      <c r="E23" s="3"/>
      <c r="F23" s="20">
        <f>IF(D$12=0,0,D23/D$12)</f>
        <v>0.19177324111681024</v>
      </c>
      <c r="G23" s="3"/>
      <c r="H23" s="3"/>
      <c r="I23" s="3"/>
      <c r="J23" s="20">
        <f>IF(H$12=0,0,H23/H$12)</f>
        <v>0</v>
      </c>
      <c r="K23" s="3"/>
      <c r="L23" s="3">
        <f>+D23-H23</f>
        <v>39383.97</v>
      </c>
      <c r="M23" s="3"/>
      <c r="N23" s="20">
        <f>IF(H23=0,0,L23/H23)</f>
        <v>0</v>
      </c>
      <c r="O23" s="12"/>
      <c r="P23" s="3">
        <v>273069.15000000002</v>
      </c>
      <c r="Q23" s="3"/>
      <c r="R23" s="20">
        <f>IF(P$12=0,0,P23/P$12)</f>
        <v>0.13602824183640086</v>
      </c>
      <c r="S23" s="3"/>
      <c r="T23" s="3"/>
      <c r="U23" s="3"/>
      <c r="V23" s="20">
        <f>IF(T$12=0,0,T23/T$12)</f>
        <v>0</v>
      </c>
      <c r="W23" s="3"/>
      <c r="X23" s="3">
        <f>+P23-T23</f>
        <v>273069.15000000002</v>
      </c>
      <c r="Y23" s="3"/>
      <c r="Z23" s="20">
        <f>IF(T23=0,0,X23/T23)</f>
        <v>0</v>
      </c>
    </row>
    <row r="24" spans="1:26" ht="15" customHeight="1" x14ac:dyDescent="0.25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25">
      <c r="A25" s="11"/>
      <c r="B25" s="28" t="s">
        <v>289</v>
      </c>
      <c r="C25" s="28"/>
      <c r="D25" s="22">
        <f>D12-D20</f>
        <v>94809.939999999988</v>
      </c>
      <c r="E25" s="15"/>
      <c r="F25" s="21">
        <f>IF(D$12=0,0,D25/D$12)</f>
        <v>0.46166014964693275</v>
      </c>
      <c r="G25" s="15"/>
      <c r="H25" s="22">
        <f>H12-H20</f>
        <v>182458</v>
      </c>
      <c r="I25" s="15"/>
      <c r="J25" s="21">
        <f>IF(H$12=0,0,H25/H$12)</f>
        <v>0.63202926362899481</v>
      </c>
      <c r="K25" s="16"/>
      <c r="L25" s="22">
        <f>+D25-H25</f>
        <v>-87648.060000000012</v>
      </c>
      <c r="M25" s="16"/>
      <c r="N25" s="21">
        <f>IF(H25=0,0,L25/H25)</f>
        <v>-0.48037389426607774</v>
      </c>
      <c r="O25" s="27"/>
      <c r="P25" s="22">
        <f>P12-P20</f>
        <v>1191644.4999999998</v>
      </c>
      <c r="Q25" s="15"/>
      <c r="R25" s="21">
        <f>IF(P$12=0,0,P25/P$12)</f>
        <v>0.5936126663484943</v>
      </c>
      <c r="S25" s="15"/>
      <c r="T25" s="22">
        <f>T12-T20</f>
        <v>1604413</v>
      </c>
      <c r="U25" s="15"/>
      <c r="V25" s="21">
        <f>IF(T$12=0,0,T25/T$12)</f>
        <v>0.62746305804025371</v>
      </c>
      <c r="W25" s="16"/>
      <c r="X25" s="22">
        <f>+P25-T25</f>
        <v>-412768.50000000023</v>
      </c>
      <c r="Y25" s="16"/>
      <c r="Z25" s="21">
        <f>IF(T25=0,0,X25/T25)</f>
        <v>-0.25727072767423365</v>
      </c>
    </row>
    <row r="26" spans="1:26" ht="15" customHeight="1" x14ac:dyDescent="0.25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25">
      <c r="A27" s="11"/>
      <c r="B27" s="27" t="s">
        <v>290</v>
      </c>
      <c r="C27" s="11"/>
      <c r="D27" s="23" cm="1">
        <f t="array" ref="D27">SUM(OSRRefD22x_0)</f>
        <v>268782.52999999997</v>
      </c>
      <c r="E27" s="23"/>
      <c r="F27" s="31">
        <f t="shared" ref="F27:F58" si="4">IF(D$12=0,0,D27/D$12)</f>
        <v>1.3087887517098016</v>
      </c>
      <c r="G27" s="23"/>
      <c r="H27" s="23" cm="1">
        <f t="array" ref="H27">SUM(OSRRefH22x_0)</f>
        <v>225207.18999382033</v>
      </c>
      <c r="I27" s="23"/>
      <c r="J27" s="31">
        <f t="shared" ref="J27:J58" si="5">IF(H$12=0,0,H27/H$12)</f>
        <v>0.78011122809495548</v>
      </c>
      <c r="K27" s="5"/>
      <c r="L27" s="23">
        <f t="shared" ref="L27:L58" si="6">+D27-H27</f>
        <v>43575.340006179642</v>
      </c>
      <c r="M27" s="5"/>
      <c r="N27" s="31">
        <f t="shared" ref="N27:N58" si="7">IF(H27=0,0,L27/H27)</f>
        <v>0.19349000361567206</v>
      </c>
      <c r="O27" s="11"/>
      <c r="P27" s="23" cm="1">
        <f t="array" ref="P27">SUM(OSRRefP22x_0)</f>
        <v>2490254.4800000009</v>
      </c>
      <c r="Q27" s="23"/>
      <c r="R27" s="31">
        <f t="shared" ref="R27:R58" si="8">IF(P$12=0,0,P27/P$12)</f>
        <v>1.2405097340348434</v>
      </c>
      <c r="S27" s="23"/>
      <c r="T27" s="23" cm="1">
        <f t="array" ref="T27">SUM(OSRRefT22x_0)</f>
        <v>2487383.5562148951</v>
      </c>
      <c r="U27" s="23"/>
      <c r="V27" s="31">
        <f t="shared" ref="V27:V58" si="9">IF(T$12=0,0,T27/T$12)</f>
        <v>0.97278025838835713</v>
      </c>
      <c r="W27" s="5"/>
      <c r="X27" s="23">
        <f t="shared" ref="X27:X58" si="10">+P27-T27</f>
        <v>2870.9237851058133</v>
      </c>
      <c r="Y27" s="5"/>
      <c r="Z27" s="31">
        <f t="shared" ref="Z27:Z58" si="11">IF(T27=0,0,X27/T27)</f>
        <v>1.1541942447647919E-3</v>
      </c>
    </row>
    <row r="28" spans="1:26" s="69" customFormat="1" ht="15" customHeight="1" outlineLevel="1" collapsed="1" x14ac:dyDescent="0.25">
      <c r="A28" s="26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33388.299999999996</v>
      </c>
      <c r="E28" s="2"/>
      <c r="F28" s="6">
        <f t="shared" si="4"/>
        <v>0.16257839182744641</v>
      </c>
      <c r="G28" s="2"/>
      <c r="H28" s="2">
        <f>SUM(OSRRefH22_0x_0)</f>
        <v>34553.407043051106</v>
      </c>
      <c r="I28" s="2"/>
      <c r="J28" s="6">
        <f t="shared" si="5"/>
        <v>0.11969200807469398</v>
      </c>
      <c r="K28" s="2"/>
      <c r="L28" s="2">
        <f t="shared" si="6"/>
        <v>-1165.1070430511099</v>
      </c>
      <c r="M28" s="2"/>
      <c r="N28" s="6">
        <f t="shared" si="7"/>
        <v>-3.3719020575871686E-2</v>
      </c>
      <c r="O28" s="14"/>
      <c r="P28" s="2">
        <f>SUM(OSRRefP22_0x_0)</f>
        <v>373876.61</v>
      </c>
      <c r="Q28" s="2"/>
      <c r="R28" s="6">
        <f t="shared" si="8"/>
        <v>0.18624505156314333</v>
      </c>
      <c r="S28" s="2"/>
      <c r="T28" s="2">
        <f>SUM(OSRRefT22_0x_0)</f>
        <v>374419.93639566517</v>
      </c>
      <c r="U28" s="2"/>
      <c r="V28" s="6">
        <f t="shared" si="9"/>
        <v>0.14643030085274886</v>
      </c>
      <c r="W28" s="2"/>
      <c r="X28" s="2">
        <f t="shared" si="10"/>
        <v>-543.32639566517901</v>
      </c>
      <c r="Y28" s="2"/>
      <c r="Z28" s="6">
        <f t="shared" si="11"/>
        <v>-1.4511150258062738E-3</v>
      </c>
    </row>
    <row r="29" spans="1:26" s="70" customFormat="1" ht="15" hidden="1" customHeight="1" outlineLevel="2" x14ac:dyDescent="0.25">
      <c r="A29" s="25"/>
      <c r="B29" s="12" t="str">
        <f>CONCATENATE("          ","6111"," - ","F.I.C.A.")</f>
        <v xml:space="preserve">          6111 - F.I.C.A.</v>
      </c>
      <c r="C29" s="12"/>
      <c r="D29" s="8">
        <v>5498.27</v>
      </c>
      <c r="E29" s="3"/>
      <c r="F29" s="7">
        <f t="shared" si="4"/>
        <v>2.677284840597137E-2</v>
      </c>
      <c r="G29" s="3"/>
      <c r="H29" s="8">
        <v>4355.0965294356902</v>
      </c>
      <c r="I29" s="3"/>
      <c r="J29" s="7">
        <f t="shared" si="5"/>
        <v>1.5085929104409947E-2</v>
      </c>
      <c r="K29" s="3"/>
      <c r="L29" s="8">
        <f t="shared" si="6"/>
        <v>1143.1734705643103</v>
      </c>
      <c r="M29" s="3"/>
      <c r="N29" s="7">
        <f t="shared" si="7"/>
        <v>0.26249096038117814</v>
      </c>
      <c r="O29" s="12"/>
      <c r="P29" s="8">
        <v>58697.72</v>
      </c>
      <c r="Q29" s="3"/>
      <c r="R29" s="7">
        <f t="shared" si="8"/>
        <v>2.9240020893628382E-2</v>
      </c>
      <c r="S29" s="3"/>
      <c r="T29" s="8">
        <v>48528.2158037423</v>
      </c>
      <c r="U29" s="3"/>
      <c r="V29" s="7">
        <f t="shared" si="9"/>
        <v>1.8978693571700997E-2</v>
      </c>
      <c r="W29" s="3"/>
      <c r="X29" s="8">
        <f t="shared" si="10"/>
        <v>10169.504196257702</v>
      </c>
      <c r="Y29" s="3"/>
      <c r="Z29" s="7">
        <f t="shared" si="11"/>
        <v>0.20955858417266332</v>
      </c>
    </row>
    <row r="30" spans="1:26" s="70" customFormat="1" ht="15" hidden="1" customHeight="1" outlineLevel="2" x14ac:dyDescent="0.25">
      <c r="A30" s="25"/>
      <c r="B30" s="12" t="str">
        <f>CONCATENATE("          ","6112"," - ","COMPENSATION INSURANCE")</f>
        <v xml:space="preserve">          6112 - COMPENSATION INSURANCE</v>
      </c>
      <c r="C30" s="12"/>
      <c r="D30" s="8">
        <v>4498.29</v>
      </c>
      <c r="E30" s="3"/>
      <c r="F30" s="7">
        <f t="shared" si="4"/>
        <v>2.1903623549970618E-2</v>
      </c>
      <c r="G30" s="3"/>
      <c r="H30" s="8">
        <v>3585.4897962515402</v>
      </c>
      <c r="I30" s="3"/>
      <c r="J30" s="7">
        <f t="shared" si="5"/>
        <v>1.2420033518257E-2</v>
      </c>
      <c r="K30" s="3"/>
      <c r="L30" s="8">
        <f t="shared" si="6"/>
        <v>912.80020374845981</v>
      </c>
      <c r="M30" s="3"/>
      <c r="N30" s="7">
        <f t="shared" si="7"/>
        <v>0.25458173237663351</v>
      </c>
      <c r="O30" s="12"/>
      <c r="P30" s="8">
        <v>28300.07</v>
      </c>
      <c r="Q30" s="3"/>
      <c r="R30" s="7">
        <f t="shared" si="8"/>
        <v>1.409756014528581E-2</v>
      </c>
      <c r="S30" s="3"/>
      <c r="T30" s="8">
        <v>38945.728279788498</v>
      </c>
      <c r="U30" s="3"/>
      <c r="V30" s="7">
        <f t="shared" si="9"/>
        <v>1.5231119271684336E-2</v>
      </c>
      <c r="W30" s="3"/>
      <c r="X30" s="8">
        <f t="shared" si="10"/>
        <v>-10645.658279788498</v>
      </c>
      <c r="Y30" s="3"/>
      <c r="Z30" s="7">
        <f t="shared" si="11"/>
        <v>-0.27334598041945546</v>
      </c>
    </row>
    <row r="31" spans="1:26" s="70" customFormat="1" ht="15" hidden="1" customHeight="1" outlineLevel="2" x14ac:dyDescent="0.25">
      <c r="A31" s="25"/>
      <c r="B31" s="12" t="str">
        <f>CONCATENATE("          ","6113"," - ","GROUP INSURANCE")</f>
        <v xml:space="preserve">          6113 - GROUP INSURANCE</v>
      </c>
      <c r="C31" s="12"/>
      <c r="D31" s="8">
        <v>13094.96</v>
      </c>
      <c r="E31" s="3"/>
      <c r="F31" s="7">
        <f t="shared" si="4"/>
        <v>6.3763579991935423E-2</v>
      </c>
      <c r="G31" s="3"/>
      <c r="H31" s="8">
        <v>16553.723076923099</v>
      </c>
      <c r="I31" s="3"/>
      <c r="J31" s="7">
        <f t="shared" si="5"/>
        <v>5.7341620573644371E-2</v>
      </c>
      <c r="K31" s="3"/>
      <c r="L31" s="8">
        <f t="shared" si="6"/>
        <v>-3458.7630769231</v>
      </c>
      <c r="M31" s="3"/>
      <c r="N31" s="7">
        <f t="shared" si="7"/>
        <v>-0.20894170216879046</v>
      </c>
      <c r="O31" s="12"/>
      <c r="P31" s="8">
        <v>145906.71</v>
      </c>
      <c r="Q31" s="3"/>
      <c r="R31" s="7">
        <f t="shared" si="8"/>
        <v>7.2682810319047775E-2</v>
      </c>
      <c r="S31" s="3"/>
      <c r="T31" s="8">
        <v>173590.76538461499</v>
      </c>
      <c r="U31" s="3"/>
      <c r="V31" s="7">
        <f t="shared" si="9"/>
        <v>6.7888874308409827E-2</v>
      </c>
      <c r="W31" s="3"/>
      <c r="X31" s="8">
        <f t="shared" si="10"/>
        <v>-27684.055384615</v>
      </c>
      <c r="Y31" s="3"/>
      <c r="Z31" s="7">
        <f t="shared" si="11"/>
        <v>-0.15947884856246267</v>
      </c>
    </row>
    <row r="32" spans="1:26" s="70" customFormat="1" ht="15" hidden="1" customHeight="1" outlineLevel="2" x14ac:dyDescent="0.25">
      <c r="A32" s="25"/>
      <c r="B32" s="12" t="str">
        <f>CONCATENATE("          ","6114"," - ","STATE UNEMPLOYMENT INSURANCE")</f>
        <v xml:space="preserve">          6114 - STATE UNEMPLOYMENT INSURANCE</v>
      </c>
      <c r="C32" s="12"/>
      <c r="D32" s="8">
        <v>427.51</v>
      </c>
      <c r="E32" s="3"/>
      <c r="F32" s="7">
        <f t="shared" si="4"/>
        <v>2.0816839518679182E-3</v>
      </c>
      <c r="G32" s="3"/>
      <c r="H32" s="8">
        <v>198.66830005615401</v>
      </c>
      <c r="I32" s="3"/>
      <c r="J32" s="7">
        <f t="shared" si="5"/>
        <v>6.881812767371955E-4</v>
      </c>
      <c r="K32" s="3"/>
      <c r="L32" s="8">
        <f t="shared" si="6"/>
        <v>228.84169994384598</v>
      </c>
      <c r="M32" s="3"/>
      <c r="N32" s="7">
        <f t="shared" si="7"/>
        <v>1.1518782809293853</v>
      </c>
      <c r="O32" s="12"/>
      <c r="P32" s="8">
        <v>2634.44</v>
      </c>
      <c r="Q32" s="3"/>
      <c r="R32" s="7">
        <f t="shared" si="8"/>
        <v>1.3123351408369927E-3</v>
      </c>
      <c r="S32" s="3"/>
      <c r="T32" s="8">
        <v>2157.94272790385</v>
      </c>
      <c r="U32" s="3"/>
      <c r="V32" s="7">
        <f t="shared" si="9"/>
        <v>8.4394064566061032E-4</v>
      </c>
      <c r="W32" s="3"/>
      <c r="X32" s="8">
        <f t="shared" si="10"/>
        <v>476.49727209615003</v>
      </c>
      <c r="Y32" s="3"/>
      <c r="Z32" s="7">
        <f t="shared" si="11"/>
        <v>0.22081089823871405</v>
      </c>
    </row>
    <row r="33" spans="1:26" s="70" customFormat="1" ht="15" hidden="1" customHeight="1" outlineLevel="2" x14ac:dyDescent="0.25">
      <c r="A33" s="25"/>
      <c r="B33" s="12" t="str">
        <f>CONCATENATE("          ","6115"," - ","P.E.R.S.")</f>
        <v xml:space="preserve">          6115 - P.E.R.S.</v>
      </c>
      <c r="C33" s="12"/>
      <c r="D33" s="8">
        <v>2880.14</v>
      </c>
      <c r="E33" s="3"/>
      <c r="F33" s="7">
        <f t="shared" si="4"/>
        <v>1.402432976335727E-2</v>
      </c>
      <c r="G33" s="3"/>
      <c r="H33" s="8">
        <v>3199.1709584615401</v>
      </c>
      <c r="I33" s="3"/>
      <c r="J33" s="7">
        <f t="shared" si="5"/>
        <v>1.1081836176543165E-2</v>
      </c>
      <c r="K33" s="3"/>
      <c r="L33" s="8">
        <f t="shared" si="6"/>
        <v>-319.03095846154019</v>
      </c>
      <c r="M33" s="3"/>
      <c r="N33" s="7">
        <f t="shared" si="7"/>
        <v>-9.9723010306070059E-2</v>
      </c>
      <c r="O33" s="12"/>
      <c r="P33" s="8">
        <v>40187.120000000003</v>
      </c>
      <c r="Q33" s="3"/>
      <c r="R33" s="7">
        <f t="shared" si="8"/>
        <v>2.0019043813878139E-2</v>
      </c>
      <c r="S33" s="3"/>
      <c r="T33" s="8">
        <v>35449.264301538497</v>
      </c>
      <c r="U33" s="3"/>
      <c r="V33" s="7">
        <f t="shared" si="9"/>
        <v>1.386370204175642E-2</v>
      </c>
      <c r="W33" s="3"/>
      <c r="X33" s="8">
        <f t="shared" si="10"/>
        <v>4737.8556984615061</v>
      </c>
      <c r="Y33" s="3"/>
      <c r="Z33" s="7">
        <f t="shared" si="11"/>
        <v>0.13365173556664992</v>
      </c>
    </row>
    <row r="34" spans="1:26" s="70" customFormat="1" ht="15" hidden="1" customHeight="1" outlineLevel="2" x14ac:dyDescent="0.25">
      <c r="A34" s="25"/>
      <c r="B34" s="12" t="str">
        <f>CONCATENATE("          ","6116"," - ","EDUCATIONAL BENEFITS")</f>
        <v xml:space="preserve">          6116 - EDUCATIONAL BENEFITS</v>
      </c>
      <c r="C34" s="12"/>
      <c r="D34" s="8"/>
      <c r="E34" s="3"/>
      <c r="F34" s="7">
        <f t="shared" si="4"/>
        <v>0</v>
      </c>
      <c r="G34" s="3"/>
      <c r="H34" s="8">
        <v>0</v>
      </c>
      <c r="I34" s="3"/>
      <c r="J34" s="7">
        <f t="shared" si="5"/>
        <v>0</v>
      </c>
      <c r="K34" s="3"/>
      <c r="L34" s="8">
        <f t="shared" si="6"/>
        <v>0</v>
      </c>
      <c r="M34" s="3"/>
      <c r="N34" s="7">
        <f t="shared" si="7"/>
        <v>0</v>
      </c>
      <c r="O34" s="12"/>
      <c r="P34" s="8"/>
      <c r="Q34" s="3"/>
      <c r="R34" s="7">
        <f t="shared" si="8"/>
        <v>0</v>
      </c>
      <c r="S34" s="3"/>
      <c r="T34" s="8">
        <v>0</v>
      </c>
      <c r="U34" s="3"/>
      <c r="V34" s="7">
        <f t="shared" si="9"/>
        <v>0</v>
      </c>
      <c r="W34" s="3"/>
      <c r="X34" s="8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25">
      <c r="A35" s="25"/>
      <c r="B35" s="12" t="str">
        <f>CONCATENATE("          ","6117"," - ","RETIREMENT STAFF HOURLY")</f>
        <v xml:space="preserve">          6117 - RETIREMENT STAFF HOURLY</v>
      </c>
      <c r="C35" s="12"/>
      <c r="D35" s="8">
        <v>301.16000000000003</v>
      </c>
      <c r="E35" s="3"/>
      <c r="F35" s="7">
        <f t="shared" si="4"/>
        <v>1.4664450865349171E-3</v>
      </c>
      <c r="G35" s="3"/>
      <c r="H35" s="8"/>
      <c r="I35" s="3"/>
      <c r="J35" s="7">
        <f t="shared" si="5"/>
        <v>0</v>
      </c>
      <c r="K35" s="3"/>
      <c r="L35" s="8">
        <f t="shared" si="6"/>
        <v>301.16000000000003</v>
      </c>
      <c r="M35" s="3"/>
      <c r="N35" s="7">
        <f t="shared" si="7"/>
        <v>0</v>
      </c>
      <c r="O35" s="12"/>
      <c r="P35" s="8">
        <v>1462.74</v>
      </c>
      <c r="Q35" s="3"/>
      <c r="R35" s="7">
        <f t="shared" si="8"/>
        <v>7.2865774278704483E-4</v>
      </c>
      <c r="S35" s="3"/>
      <c r="T35" s="8"/>
      <c r="U35" s="3"/>
      <c r="V35" s="7">
        <f t="shared" si="9"/>
        <v>0</v>
      </c>
      <c r="W35" s="3"/>
      <c r="X35" s="8">
        <f t="shared" si="10"/>
        <v>1462.74</v>
      </c>
      <c r="Y35" s="3"/>
      <c r="Z35" s="7">
        <f t="shared" si="11"/>
        <v>0</v>
      </c>
    </row>
    <row r="36" spans="1:26" s="70" customFormat="1" ht="15" hidden="1" customHeight="1" outlineLevel="2" x14ac:dyDescent="0.25">
      <c r="A36" s="25"/>
      <c r="B36" s="12" t="str">
        <f>CONCATENATE("          ","6118"," - ","VACATION")</f>
        <v xml:space="preserve">          6118 - VACATION</v>
      </c>
      <c r="C36" s="12"/>
      <c r="D36" s="8">
        <v>2908.38</v>
      </c>
      <c r="E36" s="3"/>
      <c r="F36" s="7">
        <f t="shared" si="4"/>
        <v>1.4161839423483934E-2</v>
      </c>
      <c r="G36" s="3"/>
      <c r="H36" s="8">
        <v>2683.4795664615399</v>
      </c>
      <c r="I36" s="3"/>
      <c r="J36" s="7">
        <f t="shared" si="5"/>
        <v>9.295496028423755E-3</v>
      </c>
      <c r="K36" s="3"/>
      <c r="L36" s="8">
        <f t="shared" si="6"/>
        <v>224.90043353846022</v>
      </c>
      <c r="M36" s="3"/>
      <c r="N36" s="7">
        <f t="shared" si="7"/>
        <v>8.3809258825479321E-2</v>
      </c>
      <c r="O36" s="12"/>
      <c r="P36" s="8">
        <v>41659.440000000002</v>
      </c>
      <c r="Q36" s="3"/>
      <c r="R36" s="7">
        <f t="shared" si="8"/>
        <v>2.0752473793136394E-2</v>
      </c>
      <c r="S36" s="3"/>
      <c r="T36" s="8">
        <v>30716.280461538499</v>
      </c>
      <c r="U36" s="3"/>
      <c r="V36" s="7">
        <f t="shared" si="9"/>
        <v>1.2012699516906832E-2</v>
      </c>
      <c r="W36" s="3"/>
      <c r="X36" s="8">
        <f t="shared" si="10"/>
        <v>10943.159538461503</v>
      </c>
      <c r="Y36" s="3"/>
      <c r="Z36" s="7">
        <f t="shared" si="11"/>
        <v>0.35626577743239518</v>
      </c>
    </row>
    <row r="37" spans="1:26" s="70" customFormat="1" ht="15" hidden="1" customHeight="1" outlineLevel="2" x14ac:dyDescent="0.25">
      <c r="A37" s="25"/>
      <c r="B37" s="12" t="str">
        <f>CONCATENATE("          ","6119"," - ","SICK LEAVE")</f>
        <v xml:space="preserve">          6119 - SICK LEAVE</v>
      </c>
      <c r="C37" s="12"/>
      <c r="D37" s="8">
        <v>2080.96</v>
      </c>
      <c r="E37" s="3"/>
      <c r="F37" s="7">
        <f t="shared" si="4"/>
        <v>1.0132864813639595E-2</v>
      </c>
      <c r="G37" s="3"/>
      <c r="H37" s="8">
        <v>2016.77881546154</v>
      </c>
      <c r="I37" s="3"/>
      <c r="J37" s="7">
        <f t="shared" si="5"/>
        <v>6.986063804484942E-3</v>
      </c>
      <c r="K37" s="3"/>
      <c r="L37" s="8">
        <f t="shared" si="6"/>
        <v>64.181184538460002</v>
      </c>
      <c r="M37" s="3"/>
      <c r="N37" s="7">
        <f t="shared" si="7"/>
        <v>3.1823611020910157E-2</v>
      </c>
      <c r="O37" s="12"/>
      <c r="P37" s="8">
        <v>35346.94</v>
      </c>
      <c r="Q37" s="3"/>
      <c r="R37" s="7">
        <f t="shared" si="8"/>
        <v>1.760792862356202E-2</v>
      </c>
      <c r="S37" s="3"/>
      <c r="T37" s="8">
        <v>22300.739436538501</v>
      </c>
      <c r="U37" s="3"/>
      <c r="V37" s="7">
        <f t="shared" si="9"/>
        <v>8.7215013611890019E-3</v>
      </c>
      <c r="W37" s="3"/>
      <c r="X37" s="8">
        <f t="shared" si="10"/>
        <v>13046.200563461502</v>
      </c>
      <c r="Y37" s="3"/>
      <c r="Z37" s="7">
        <f t="shared" si="11"/>
        <v>0.58501201722872198</v>
      </c>
    </row>
    <row r="38" spans="1:26" s="70" customFormat="1" ht="15" hidden="1" customHeight="1" outlineLevel="2" x14ac:dyDescent="0.25">
      <c r="A38" s="25"/>
      <c r="B38" s="12" t="str">
        <f>CONCATENATE("          ","6156"," - ","EMPLOYEE MEALS")</f>
        <v xml:space="preserve">          6156 - EMPLOYEE MEALS</v>
      </c>
      <c r="C38" s="12"/>
      <c r="D38" s="8">
        <v>1698.63</v>
      </c>
      <c r="E38" s="3"/>
      <c r="F38" s="7">
        <f t="shared" si="4"/>
        <v>8.2711768406853702E-3</v>
      </c>
      <c r="G38" s="3"/>
      <c r="H38" s="8">
        <v>1961</v>
      </c>
      <c r="I38" s="3"/>
      <c r="J38" s="7">
        <f t="shared" si="5"/>
        <v>6.7928475921935948E-3</v>
      </c>
      <c r="K38" s="3"/>
      <c r="L38" s="8">
        <f t="shared" si="6"/>
        <v>-262.36999999999989</v>
      </c>
      <c r="M38" s="3"/>
      <c r="N38" s="7">
        <f t="shared" si="7"/>
        <v>-0.13379398266190715</v>
      </c>
      <c r="O38" s="12"/>
      <c r="P38" s="8">
        <v>19681.43</v>
      </c>
      <c r="Q38" s="3"/>
      <c r="R38" s="7">
        <f t="shared" si="8"/>
        <v>9.8042210909807821E-3</v>
      </c>
      <c r="S38" s="3"/>
      <c r="T38" s="8">
        <v>22731</v>
      </c>
      <c r="U38" s="3"/>
      <c r="V38" s="7">
        <f t="shared" si="9"/>
        <v>8.8897701354408165E-3</v>
      </c>
      <c r="W38" s="3"/>
      <c r="X38" s="8">
        <f t="shared" si="10"/>
        <v>-3049.5699999999997</v>
      </c>
      <c r="Y38" s="3"/>
      <c r="Z38" s="7">
        <f t="shared" si="11"/>
        <v>-0.13415907791122256</v>
      </c>
    </row>
    <row r="39" spans="1:26" s="69" customFormat="1" ht="15" customHeight="1" outlineLevel="1" collapsed="1" x14ac:dyDescent="0.25">
      <c r="A39" s="26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85864.599999999991</v>
      </c>
      <c r="E39" s="2"/>
      <c r="F39" s="6">
        <f t="shared" si="4"/>
        <v>0.41810240661869441</v>
      </c>
      <c r="G39" s="2"/>
      <c r="H39" s="2">
        <f>SUM(OSRRefH22_1x_0)</f>
        <v>90023.782950769208</v>
      </c>
      <c r="I39" s="2"/>
      <c r="J39" s="6">
        <f t="shared" si="5"/>
        <v>0.31183979462380995</v>
      </c>
      <c r="K39" s="2"/>
      <c r="L39" s="2">
        <f t="shared" si="6"/>
        <v>-4159.1829507692164</v>
      </c>
      <c r="M39" s="2"/>
      <c r="N39" s="6">
        <f t="shared" si="7"/>
        <v>-4.6200935068944224E-2</v>
      </c>
      <c r="O39" s="14"/>
      <c r="P39" s="2">
        <f>SUM(OSRRefP22_1x_0)</f>
        <v>957266.37</v>
      </c>
      <c r="Q39" s="2"/>
      <c r="R39" s="6">
        <f t="shared" si="8"/>
        <v>0.47685819244031619</v>
      </c>
      <c r="S39" s="2"/>
      <c r="T39" s="2">
        <f>SUM(OSRRefT22_1x_0)</f>
        <v>975598.86981922993</v>
      </c>
      <c r="U39" s="2"/>
      <c r="V39" s="6">
        <f t="shared" si="9"/>
        <v>0.38154281365046866</v>
      </c>
      <c r="W39" s="2"/>
      <c r="X39" s="2">
        <f t="shared" si="10"/>
        <v>-18332.499819229939</v>
      </c>
      <c r="Y39" s="2"/>
      <c r="Z39" s="6">
        <f t="shared" si="11"/>
        <v>-1.8791021993113617E-2</v>
      </c>
    </row>
    <row r="40" spans="1:26" s="70" customFormat="1" ht="15" hidden="1" customHeight="1" outlineLevel="2" x14ac:dyDescent="0.25">
      <c r="A40" s="25"/>
      <c r="B40" s="12" t="str">
        <f>CONCATENATE("          ","6001"," - ","ADMINISTRATIVE SALARIES")</f>
        <v xml:space="preserve">          6001 - ADMINISTRATIVE SALARIES</v>
      </c>
      <c r="C40" s="12"/>
      <c r="D40" s="8">
        <v>10360.85</v>
      </c>
      <c r="E40" s="3"/>
      <c r="F40" s="7">
        <f t="shared" si="4"/>
        <v>5.0450317355642496E-2</v>
      </c>
      <c r="G40" s="3"/>
      <c r="H40" s="8">
        <v>10268.307692307701</v>
      </c>
      <c r="I40" s="3"/>
      <c r="J40" s="7">
        <f t="shared" si="5"/>
        <v>3.5569122480160802E-2</v>
      </c>
      <c r="K40" s="3"/>
      <c r="L40" s="8">
        <f t="shared" si="6"/>
        <v>92.542307692299801</v>
      </c>
      <c r="M40" s="3"/>
      <c r="N40" s="7">
        <f t="shared" si="7"/>
        <v>9.0124205921123732E-3</v>
      </c>
      <c r="O40" s="12"/>
      <c r="P40" s="8">
        <v>123156.88</v>
      </c>
      <c r="Q40" s="3"/>
      <c r="R40" s="7">
        <f t="shared" si="8"/>
        <v>6.1350078749124896E-2</v>
      </c>
      <c r="S40" s="3"/>
      <c r="T40" s="8">
        <v>123219.69230769201</v>
      </c>
      <c r="U40" s="3"/>
      <c r="V40" s="7">
        <f t="shared" si="9"/>
        <v>4.8189465521760011E-2</v>
      </c>
      <c r="W40" s="3"/>
      <c r="X40" s="8">
        <f t="shared" si="10"/>
        <v>-62.812307692001923</v>
      </c>
      <c r="Y40" s="3"/>
      <c r="Z40" s="7">
        <f t="shared" si="11"/>
        <v>-5.0975867992879948E-4</v>
      </c>
    </row>
    <row r="41" spans="1:26" s="70" customFormat="1" ht="15" hidden="1" customHeight="1" outlineLevel="2" x14ac:dyDescent="0.25">
      <c r="A41" s="25"/>
      <c r="B41" s="12" t="str">
        <f>CONCATENATE("          ","6002"," - ","STAFF SALARIES")</f>
        <v xml:space="preserve">          6002 - STAFF SALARIES</v>
      </c>
      <c r="C41" s="12"/>
      <c r="D41" s="8">
        <v>17770.849999999999</v>
      </c>
      <c r="E41" s="3"/>
      <c r="F41" s="7">
        <f t="shared" si="4"/>
        <v>8.653199517216438E-2</v>
      </c>
      <c r="G41" s="3"/>
      <c r="H41" s="8">
        <v>23952.633038461499</v>
      </c>
      <c r="I41" s="3"/>
      <c r="J41" s="7">
        <f t="shared" si="5"/>
        <v>8.2971231852121338E-2</v>
      </c>
      <c r="K41" s="3"/>
      <c r="L41" s="8">
        <f t="shared" si="6"/>
        <v>-6181.7830384615008</v>
      </c>
      <c r="M41" s="3"/>
      <c r="N41" s="7">
        <f t="shared" si="7"/>
        <v>-0.2580836532056921</v>
      </c>
      <c r="O41" s="12"/>
      <c r="P41" s="8">
        <v>265815.36</v>
      </c>
      <c r="Q41" s="3"/>
      <c r="R41" s="7">
        <f t="shared" si="8"/>
        <v>0.13241479703551262</v>
      </c>
      <c r="S41" s="3"/>
      <c r="T41" s="8">
        <v>254946.15646153799</v>
      </c>
      <c r="U41" s="3"/>
      <c r="V41" s="7">
        <f t="shared" si="9"/>
        <v>9.9705808273160099E-2</v>
      </c>
      <c r="W41" s="3"/>
      <c r="X41" s="8">
        <f t="shared" si="10"/>
        <v>10869.203538461996</v>
      </c>
      <c r="Y41" s="3"/>
      <c r="Z41" s="7">
        <f t="shared" si="11"/>
        <v>4.2633329677601001E-2</v>
      </c>
    </row>
    <row r="42" spans="1:26" s="70" customFormat="1" ht="15" hidden="1" customHeight="1" outlineLevel="2" x14ac:dyDescent="0.25">
      <c r="A42" s="25"/>
      <c r="B42" s="12" t="str">
        <f>CONCATENATE("          ","6003"," - ","STAFF HOURLY-9 MONTH")</f>
        <v xml:space="preserve">          6003 - STAFF HOURLY-9 MONTH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25">
      <c r="A43" s="25"/>
      <c r="B43" s="12" t="str">
        <f>CONCATENATE("          ","6004"," - ","STAFF HOURLY")</f>
        <v xml:space="preserve">          6004 - STAFF HOURLY</v>
      </c>
      <c r="C43" s="12"/>
      <c r="D43" s="8">
        <v>10560.04</v>
      </c>
      <c r="E43" s="3"/>
      <c r="F43" s="7">
        <f t="shared" si="4"/>
        <v>5.1420237653115236E-2</v>
      </c>
      <c r="G43" s="3"/>
      <c r="H43" s="8">
        <v>17104.58022</v>
      </c>
      <c r="I43" s="3"/>
      <c r="J43" s="7">
        <f t="shared" si="5"/>
        <v>5.9249773871957769E-2</v>
      </c>
      <c r="K43" s="3"/>
      <c r="L43" s="8">
        <f t="shared" si="6"/>
        <v>-6544.540219999999</v>
      </c>
      <c r="M43" s="3"/>
      <c r="N43" s="7">
        <f t="shared" si="7"/>
        <v>-0.38261916608439273</v>
      </c>
      <c r="O43" s="12"/>
      <c r="P43" s="8">
        <v>145680.95000000001</v>
      </c>
      <c r="Q43" s="3"/>
      <c r="R43" s="7">
        <f t="shared" si="8"/>
        <v>7.2570348930139569E-2</v>
      </c>
      <c r="S43" s="3"/>
      <c r="T43" s="8">
        <v>195023.34825000001</v>
      </c>
      <c r="U43" s="3"/>
      <c r="V43" s="7">
        <f t="shared" si="9"/>
        <v>7.6270852007677803E-2</v>
      </c>
      <c r="W43" s="3"/>
      <c r="X43" s="8">
        <f t="shared" si="10"/>
        <v>-49342.398249999998</v>
      </c>
      <c r="Y43" s="3"/>
      <c r="Z43" s="7">
        <f t="shared" si="11"/>
        <v>-0.25300764597041009</v>
      </c>
    </row>
    <row r="44" spans="1:26" s="70" customFormat="1" ht="15" hidden="1" customHeight="1" outlineLevel="2" x14ac:dyDescent="0.25">
      <c r="A44" s="25"/>
      <c r="B44" s="12" t="str">
        <f>CONCATENATE("          ","6005"," - ","TEMPORARY WAGES-HOURLY")</f>
        <v xml:space="preserve">          6005 - TEMPORARY WAGES-HOURLY</v>
      </c>
      <c r="C44" s="12"/>
      <c r="D44" s="8">
        <v>15687.28</v>
      </c>
      <c r="E44" s="3"/>
      <c r="F44" s="7">
        <f t="shared" si="4"/>
        <v>7.6386421427472012E-2</v>
      </c>
      <c r="G44" s="3"/>
      <c r="H44" s="8">
        <v>11265.885550000001</v>
      </c>
      <c r="I44" s="3"/>
      <c r="J44" s="7">
        <f t="shared" si="5"/>
        <v>3.902470348406227E-2</v>
      </c>
      <c r="K44" s="3"/>
      <c r="L44" s="8">
        <f t="shared" si="6"/>
        <v>4421.3944499999998</v>
      </c>
      <c r="M44" s="3"/>
      <c r="N44" s="7">
        <f t="shared" si="7"/>
        <v>0.39245866917226047</v>
      </c>
      <c r="O44" s="12"/>
      <c r="P44" s="8">
        <v>160673.78</v>
      </c>
      <c r="Q44" s="3"/>
      <c r="R44" s="7">
        <f t="shared" si="8"/>
        <v>8.0038963766535562E-2</v>
      </c>
      <c r="S44" s="3"/>
      <c r="T44" s="8">
        <v>115004.7714</v>
      </c>
      <c r="U44" s="3"/>
      <c r="V44" s="7">
        <f t="shared" si="9"/>
        <v>4.4976727034662711E-2</v>
      </c>
      <c r="W44" s="3"/>
      <c r="X44" s="8">
        <f t="shared" si="10"/>
        <v>45669.008600000001</v>
      </c>
      <c r="Y44" s="3"/>
      <c r="Z44" s="7">
        <f t="shared" si="11"/>
        <v>0.39710533783992202</v>
      </c>
    </row>
    <row r="45" spans="1:26" s="70" customFormat="1" ht="15" hidden="1" customHeight="1" outlineLevel="2" x14ac:dyDescent="0.25">
      <c r="A45" s="25"/>
      <c r="B45" s="12" t="str">
        <f>CONCATENATE("          ","6006"," - ","TEMPORARY PART TIME")</f>
        <v xml:space="preserve">          6006 - TEMPORARY PART TIME</v>
      </c>
      <c r="C45" s="12"/>
      <c r="D45" s="8">
        <v>1589.04</v>
      </c>
      <c r="E45" s="3"/>
      <c r="F45" s="7">
        <f t="shared" si="4"/>
        <v>7.7375478161357562E-3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1589.04</v>
      </c>
      <c r="M45" s="3"/>
      <c r="N45" s="7">
        <f t="shared" si="7"/>
        <v>0</v>
      </c>
      <c r="O45" s="12"/>
      <c r="P45" s="8">
        <v>6791.04</v>
      </c>
      <c r="Q45" s="3"/>
      <c r="R45" s="7">
        <f t="shared" si="8"/>
        <v>3.3829278460810078E-3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6791.04</v>
      </c>
      <c r="Y45" s="3"/>
      <c r="Z45" s="7">
        <f t="shared" si="11"/>
        <v>0</v>
      </c>
    </row>
    <row r="46" spans="1:26" s="70" customFormat="1" ht="15" hidden="1" customHeight="1" outlineLevel="2" x14ac:dyDescent="0.25">
      <c r="A46" s="25"/>
      <c r="B46" s="12" t="str">
        <f>CONCATENATE("          ","6007"," - ","STUDENT HOURLY")</f>
        <v xml:space="preserve">          6007 - STUDENT HOURLY</v>
      </c>
      <c r="C46" s="12"/>
      <c r="D46" s="8">
        <v>26250.400000000001</v>
      </c>
      <c r="E46" s="3"/>
      <c r="F46" s="7">
        <f t="shared" si="4"/>
        <v>0.127821656593094</v>
      </c>
      <c r="G46" s="3"/>
      <c r="H46" s="8">
        <v>1895.0555999999999</v>
      </c>
      <c r="I46" s="3"/>
      <c r="J46" s="7">
        <f t="shared" si="5"/>
        <v>6.5644180874722012E-3</v>
      </c>
      <c r="K46" s="3"/>
      <c r="L46" s="8">
        <f t="shared" si="6"/>
        <v>24355.344400000002</v>
      </c>
      <c r="M46" s="3"/>
      <c r="N46" s="7">
        <f t="shared" si="7"/>
        <v>12.852047401669905</v>
      </c>
      <c r="O46" s="12"/>
      <c r="P46" s="8">
        <v>236830.43</v>
      </c>
      <c r="Q46" s="3"/>
      <c r="R46" s="7">
        <f t="shared" si="8"/>
        <v>0.11797607677856982</v>
      </c>
      <c r="S46" s="3"/>
      <c r="T46" s="8">
        <v>18888.098000000002</v>
      </c>
      <c r="U46" s="3"/>
      <c r="V46" s="7">
        <f t="shared" si="9"/>
        <v>7.386865932676936E-3</v>
      </c>
      <c r="W46" s="3"/>
      <c r="X46" s="8">
        <f t="shared" si="10"/>
        <v>217942.33199999999</v>
      </c>
      <c r="Y46" s="3"/>
      <c r="Z46" s="7">
        <f t="shared" si="11"/>
        <v>11.538606587068744</v>
      </c>
    </row>
    <row r="47" spans="1:26" s="70" customFormat="1" ht="15" hidden="1" customHeight="1" outlineLevel="2" x14ac:dyDescent="0.25">
      <c r="A47" s="25"/>
      <c r="B47" s="12" t="str">
        <f>CONCATENATE("          ","6008"," - ","STUDENT HOURLY-FICA EXEMPT")</f>
        <v xml:space="preserve">          6008 - STUDENT HOURLY-FICA EXEMPT</v>
      </c>
      <c r="C47" s="12"/>
      <c r="D47" s="8">
        <v>3646.14</v>
      </c>
      <c r="E47" s="3"/>
      <c r="F47" s="7">
        <f t="shared" si="4"/>
        <v>1.7754230601070599E-2</v>
      </c>
      <c r="G47" s="3"/>
      <c r="H47" s="8">
        <v>25537.32085</v>
      </c>
      <c r="I47" s="3"/>
      <c r="J47" s="7">
        <f t="shared" si="5"/>
        <v>8.8460544848035588E-2</v>
      </c>
      <c r="K47" s="3"/>
      <c r="L47" s="8">
        <f t="shared" si="6"/>
        <v>-21891.180850000001</v>
      </c>
      <c r="M47" s="3"/>
      <c r="N47" s="7">
        <f t="shared" si="7"/>
        <v>-0.85722308062711283</v>
      </c>
      <c r="O47" s="12"/>
      <c r="P47" s="8">
        <v>18317.93</v>
      </c>
      <c r="Q47" s="3"/>
      <c r="R47" s="7">
        <f t="shared" si="8"/>
        <v>9.1249993343527173E-3</v>
      </c>
      <c r="S47" s="3"/>
      <c r="T47" s="8">
        <v>268516.80339999998</v>
      </c>
      <c r="U47" s="3"/>
      <c r="V47" s="7">
        <f t="shared" si="9"/>
        <v>0.10501309488053112</v>
      </c>
      <c r="W47" s="3"/>
      <c r="X47" s="8">
        <f t="shared" si="10"/>
        <v>-250198.87339999998</v>
      </c>
      <c r="Y47" s="3"/>
      <c r="Z47" s="7">
        <f t="shared" si="11"/>
        <v>-0.93178106633158286</v>
      </c>
    </row>
    <row r="48" spans="1:26" s="70" customFormat="1" ht="15" hidden="1" customHeight="1" outlineLevel="2" x14ac:dyDescent="0.25">
      <c r="A48" s="25"/>
      <c r="B48" s="12" t="str">
        <f>CONCATENATE("          ","6009"," - ","TEMPORARY-SEASONAL")</f>
        <v xml:space="preserve">          6009 - TEMPORARY-SEASONAL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25">
      <c r="A49" s="25"/>
      <c r="B49" s="12" t="str">
        <f>CONCATENATE("          ","6010"," - ","GRATUITY")</f>
        <v xml:space="preserve">          6010 - GRATUITY</v>
      </c>
      <c r="C49" s="12"/>
      <c r="D49" s="8"/>
      <c r="E49" s="3"/>
      <c r="F49" s="7">
        <f t="shared" si="4"/>
        <v>0</v>
      </c>
      <c r="G49" s="3"/>
      <c r="H49" s="8">
        <v>0</v>
      </c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/>
      <c r="Q49" s="3"/>
      <c r="R49" s="7">
        <f t="shared" si="8"/>
        <v>0</v>
      </c>
      <c r="S49" s="3"/>
      <c r="T49" s="8">
        <v>0</v>
      </c>
      <c r="U49" s="3"/>
      <c r="V49" s="7">
        <f t="shared" si="9"/>
        <v>0</v>
      </c>
      <c r="W49" s="3"/>
      <c r="X49" s="8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25">
      <c r="A50" s="26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47.32</v>
      </c>
      <c r="E50" s="2"/>
      <c r="F50" s="6">
        <f t="shared" si="4"/>
        <v>2.304163285125258E-4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47.32</v>
      </c>
      <c r="M50" s="2"/>
      <c r="N50" s="6">
        <f t="shared" si="7"/>
        <v>0</v>
      </c>
      <c r="O50" s="14"/>
      <c r="P50" s="2">
        <f>SUM(OSRRefP22_2x_0)</f>
        <v>2816.76</v>
      </c>
      <c r="Q50" s="2"/>
      <c r="R50" s="6">
        <f t="shared" si="8"/>
        <v>1.4031570775208421E-3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2816.76</v>
      </c>
      <c r="Y50" s="2"/>
      <c r="Z50" s="6">
        <f t="shared" si="11"/>
        <v>0</v>
      </c>
    </row>
    <row r="51" spans="1:26" s="70" customFormat="1" ht="15" hidden="1" customHeight="1" outlineLevel="2" x14ac:dyDescent="0.25">
      <c r="A51" s="25"/>
      <c r="B51" s="12" t="str">
        <f>CONCATENATE("          ","6362"," - ","ADVERTISING EXPENSE")</f>
        <v xml:space="preserve">          6362 - ADVERTISING EXPENSE</v>
      </c>
      <c r="C51" s="12"/>
      <c r="D51" s="8">
        <v>47.32</v>
      </c>
      <c r="E51" s="3"/>
      <c r="F51" s="7">
        <f t="shared" si="4"/>
        <v>2.304163285125258E-4</v>
      </c>
      <c r="G51" s="3"/>
      <c r="H51" s="8"/>
      <c r="I51" s="3"/>
      <c r="J51" s="7">
        <f t="shared" si="5"/>
        <v>0</v>
      </c>
      <c r="K51" s="3"/>
      <c r="L51" s="8">
        <f t="shared" si="6"/>
        <v>47.32</v>
      </c>
      <c r="M51" s="3"/>
      <c r="N51" s="7">
        <f t="shared" si="7"/>
        <v>0</v>
      </c>
      <c r="O51" s="12"/>
      <c r="P51" s="8">
        <v>2816.76</v>
      </c>
      <c r="Q51" s="3"/>
      <c r="R51" s="7">
        <f t="shared" si="8"/>
        <v>1.4031570775208421E-3</v>
      </c>
      <c r="S51" s="3"/>
      <c r="T51" s="8">
        <v>0</v>
      </c>
      <c r="U51" s="3"/>
      <c r="V51" s="7">
        <f t="shared" si="9"/>
        <v>0</v>
      </c>
      <c r="W51" s="3"/>
      <c r="X51" s="8">
        <f t="shared" si="10"/>
        <v>2816.76</v>
      </c>
      <c r="Y51" s="3"/>
      <c r="Z51" s="7">
        <f t="shared" si="11"/>
        <v>0</v>
      </c>
    </row>
    <row r="52" spans="1:26" s="69" customFormat="1" ht="15" customHeight="1" outlineLevel="1" collapsed="1" x14ac:dyDescent="0.25">
      <c r="A52" s="26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-33.619999999999997</v>
      </c>
      <c r="E52" s="2"/>
      <c r="F52" s="6">
        <f t="shared" si="4"/>
        <v>-1.6370661379102106E-4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-33.619999999999997</v>
      </c>
      <c r="M52" s="2"/>
      <c r="N52" s="6">
        <f t="shared" si="7"/>
        <v>0</v>
      </c>
      <c r="O52" s="14"/>
      <c r="P52" s="2">
        <f>SUM(OSRRefP22_3x_0)</f>
        <v>-43.57</v>
      </c>
      <c r="Q52" s="2"/>
      <c r="R52" s="6">
        <f t="shared" si="8"/>
        <v>-2.1704211174392952E-5</v>
      </c>
      <c r="S52" s="2"/>
      <c r="T52" s="2">
        <f>SUM(OSRRefT22_3x_0)</f>
        <v>70</v>
      </c>
      <c r="U52" s="2"/>
      <c r="V52" s="6">
        <f t="shared" si="9"/>
        <v>2.7376002352771861E-5</v>
      </c>
      <c r="W52" s="2"/>
      <c r="X52" s="2">
        <f t="shared" si="10"/>
        <v>-113.57</v>
      </c>
      <c r="Y52" s="2"/>
      <c r="Z52" s="6">
        <f t="shared" si="11"/>
        <v>-1.6224285714285713</v>
      </c>
    </row>
    <row r="53" spans="1:26" s="70" customFormat="1" ht="15" hidden="1" customHeight="1" outlineLevel="2" x14ac:dyDescent="0.25">
      <c r="A53" s="25"/>
      <c r="B53" s="12" t="str">
        <f>CONCATENATE("          ","6272"," - ","CASH (OVER/SHORT)")</f>
        <v xml:space="preserve">          6272 - CASH (OVER/SHORT)</v>
      </c>
      <c r="C53" s="12"/>
      <c r="D53" s="8">
        <v>-33.619999999999997</v>
      </c>
      <c r="E53" s="3"/>
      <c r="F53" s="7">
        <f t="shared" si="4"/>
        <v>-1.6370661379102106E-4</v>
      </c>
      <c r="G53" s="3"/>
      <c r="H53" s="8">
        <v>0</v>
      </c>
      <c r="I53" s="3"/>
      <c r="J53" s="7">
        <f t="shared" si="5"/>
        <v>0</v>
      </c>
      <c r="K53" s="3"/>
      <c r="L53" s="8">
        <f t="shared" si="6"/>
        <v>-33.619999999999997</v>
      </c>
      <c r="M53" s="3"/>
      <c r="N53" s="7">
        <f t="shared" si="7"/>
        <v>0</v>
      </c>
      <c r="O53" s="12"/>
      <c r="P53" s="8">
        <v>-43.57</v>
      </c>
      <c r="Q53" s="3"/>
      <c r="R53" s="7">
        <f t="shared" si="8"/>
        <v>-2.1704211174392952E-5</v>
      </c>
      <c r="S53" s="3"/>
      <c r="T53" s="8">
        <v>70</v>
      </c>
      <c r="U53" s="3"/>
      <c r="V53" s="7">
        <f t="shared" si="9"/>
        <v>2.7376002352771861E-5</v>
      </c>
      <c r="W53" s="3"/>
      <c r="X53" s="8">
        <f t="shared" si="10"/>
        <v>-113.57</v>
      </c>
      <c r="Y53" s="3"/>
      <c r="Z53" s="7">
        <f t="shared" si="11"/>
        <v>-1.6224285714285713</v>
      </c>
    </row>
    <row r="54" spans="1:26" s="69" customFormat="1" ht="15" customHeight="1" outlineLevel="1" collapsed="1" x14ac:dyDescent="0.25">
      <c r="A54" s="26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9369.61</v>
      </c>
      <c r="E54" s="2"/>
      <c r="F54" s="6">
        <f t="shared" si="4"/>
        <v>4.5623650376040721E-2</v>
      </c>
      <c r="G54" s="2"/>
      <c r="H54" s="2">
        <f>SUM(OSRRefH22_4x_0)</f>
        <v>14095</v>
      </c>
      <c r="I54" s="2"/>
      <c r="J54" s="6">
        <f t="shared" si="5"/>
        <v>4.8824674559902456E-2</v>
      </c>
      <c r="K54" s="2"/>
      <c r="L54" s="2">
        <f t="shared" si="6"/>
        <v>-4725.3899999999994</v>
      </c>
      <c r="M54" s="2"/>
      <c r="N54" s="6">
        <f t="shared" si="7"/>
        <v>-0.33525292656970551</v>
      </c>
      <c r="O54" s="14"/>
      <c r="P54" s="2">
        <f>SUM(OSRRefP22_4x_0)</f>
        <v>74794.12</v>
      </c>
      <c r="Q54" s="2"/>
      <c r="R54" s="6">
        <f t="shared" si="8"/>
        <v>3.7258374456802551E-2</v>
      </c>
      <c r="S54" s="2"/>
      <c r="T54" s="2">
        <f>SUM(OSRRefT22_4x_0)</f>
        <v>120766.75</v>
      </c>
      <c r="U54" s="2"/>
      <c r="V54" s="6">
        <f t="shared" si="9"/>
        <v>4.7230154744808725E-2</v>
      </c>
      <c r="W54" s="2"/>
      <c r="X54" s="2">
        <f t="shared" si="10"/>
        <v>-45972.630000000005</v>
      </c>
      <c r="Y54" s="2"/>
      <c r="Z54" s="6">
        <f t="shared" si="11"/>
        <v>-0.38067290872694681</v>
      </c>
    </row>
    <row r="55" spans="1:26" s="70" customFormat="1" ht="15" hidden="1" customHeight="1" outlineLevel="2" x14ac:dyDescent="0.25">
      <c r="A55" s="25"/>
      <c r="B55" s="12" t="str">
        <f>CONCATENATE("          ","6381"," - ","BANK/CREDIT CARD FEES")</f>
        <v xml:space="preserve">          6381 - BANK/CREDIT CARD FEES</v>
      </c>
      <c r="C55" s="12"/>
      <c r="D55" s="8">
        <v>9369.61</v>
      </c>
      <c r="E55" s="3"/>
      <c r="F55" s="7">
        <f t="shared" si="4"/>
        <v>4.5623650376040721E-2</v>
      </c>
      <c r="G55" s="3"/>
      <c r="H55" s="8">
        <v>14095</v>
      </c>
      <c r="I55" s="3"/>
      <c r="J55" s="7">
        <f t="shared" si="5"/>
        <v>4.8824674559902456E-2</v>
      </c>
      <c r="K55" s="3"/>
      <c r="L55" s="8">
        <f t="shared" si="6"/>
        <v>-4725.3899999999994</v>
      </c>
      <c r="M55" s="3"/>
      <c r="N55" s="7">
        <f t="shared" si="7"/>
        <v>-0.33525292656970551</v>
      </c>
      <c r="O55" s="12"/>
      <c r="P55" s="8">
        <v>74794.12</v>
      </c>
      <c r="Q55" s="3"/>
      <c r="R55" s="7">
        <f t="shared" si="8"/>
        <v>3.7258374456802551E-2</v>
      </c>
      <c r="S55" s="3"/>
      <c r="T55" s="8">
        <v>120766.75</v>
      </c>
      <c r="U55" s="3"/>
      <c r="V55" s="7">
        <f t="shared" si="9"/>
        <v>4.7230154744808725E-2</v>
      </c>
      <c r="W55" s="3"/>
      <c r="X55" s="8">
        <f t="shared" si="10"/>
        <v>-45972.630000000005</v>
      </c>
      <c r="Y55" s="3"/>
      <c r="Z55" s="7">
        <f t="shared" si="11"/>
        <v>-0.38067290872694681</v>
      </c>
    </row>
    <row r="56" spans="1:26" s="69" customFormat="1" ht="15" customHeight="1" outlineLevel="1" collapsed="1" x14ac:dyDescent="0.25">
      <c r="A56" s="26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43047.53</v>
      </c>
      <c r="E56" s="2"/>
      <c r="F56" s="6">
        <f t="shared" si="4"/>
        <v>0.20961229531134423</v>
      </c>
      <c r="G56" s="2"/>
      <c r="H56" s="2">
        <f>SUM(OSRRefH22_5x_0)</f>
        <v>38532</v>
      </c>
      <c r="I56" s="2"/>
      <c r="J56" s="6">
        <f t="shared" si="5"/>
        <v>0.13347373963406609</v>
      </c>
      <c r="K56" s="2"/>
      <c r="L56" s="2">
        <f t="shared" si="6"/>
        <v>4515.5299999999988</v>
      </c>
      <c r="M56" s="2"/>
      <c r="N56" s="6">
        <f t="shared" si="7"/>
        <v>0.11718908958787498</v>
      </c>
      <c r="O56" s="14"/>
      <c r="P56" s="2">
        <f>SUM(OSRRefP22_5x_0)</f>
        <v>439356.81000000006</v>
      </c>
      <c r="Q56" s="2"/>
      <c r="R56" s="6">
        <f t="shared" si="8"/>
        <v>0.21886373617506635</v>
      </c>
      <c r="S56" s="2"/>
      <c r="T56" s="2">
        <f>SUM(OSRRefT22_5x_0)</f>
        <v>430970</v>
      </c>
      <c r="U56" s="2"/>
      <c r="V56" s="6">
        <f t="shared" si="9"/>
        <v>0.16854622477105841</v>
      </c>
      <c r="W56" s="2"/>
      <c r="X56" s="2">
        <f t="shared" si="10"/>
        <v>8386.8100000000559</v>
      </c>
      <c r="Y56" s="2"/>
      <c r="Z56" s="6">
        <f t="shared" si="11"/>
        <v>1.9460310462445313E-2</v>
      </c>
    </row>
    <row r="57" spans="1:26" s="70" customFormat="1" ht="15" hidden="1" customHeight="1" outlineLevel="2" x14ac:dyDescent="0.25">
      <c r="A57" s="25"/>
      <c r="B57" s="12" t="str">
        <f>CONCATENATE("          ","6321"," - ","BUILDING DEPRECIATION")</f>
        <v xml:space="preserve">          6321 - BUILDING DEPRECIATION</v>
      </c>
      <c r="C57" s="12"/>
      <c r="D57" s="8">
        <v>28619.91</v>
      </c>
      <c r="E57" s="3"/>
      <c r="F57" s="7">
        <f t="shared" si="4"/>
        <v>0.13935956433979124</v>
      </c>
      <c r="G57" s="3"/>
      <c r="H57" s="8"/>
      <c r="I57" s="3"/>
      <c r="J57" s="7">
        <f t="shared" si="5"/>
        <v>0</v>
      </c>
      <c r="K57" s="3"/>
      <c r="L57" s="8">
        <f t="shared" si="6"/>
        <v>28619.91</v>
      </c>
      <c r="M57" s="3"/>
      <c r="N57" s="7">
        <f t="shared" si="7"/>
        <v>0</v>
      </c>
      <c r="O57" s="12"/>
      <c r="P57" s="8">
        <v>314907.15000000002</v>
      </c>
      <c r="Q57" s="3"/>
      <c r="R57" s="7">
        <f t="shared" si="8"/>
        <v>0.15686966453812801</v>
      </c>
      <c r="S57" s="3"/>
      <c r="T57" s="8"/>
      <c r="U57" s="3"/>
      <c r="V57" s="7">
        <f t="shared" si="9"/>
        <v>0</v>
      </c>
      <c r="W57" s="3"/>
      <c r="X57" s="8">
        <f t="shared" si="10"/>
        <v>314907.15000000002</v>
      </c>
      <c r="Y57" s="3"/>
      <c r="Z57" s="7">
        <f t="shared" si="11"/>
        <v>0</v>
      </c>
    </row>
    <row r="58" spans="1:26" s="70" customFormat="1" ht="15" hidden="1" customHeight="1" outlineLevel="2" x14ac:dyDescent="0.25">
      <c r="A58" s="25"/>
      <c r="B58" s="12" t="str">
        <f>CONCATENATE("          ","6322"," - ","EQUIPMENT DEPRECIATION EXPENSE")</f>
        <v xml:space="preserve">          6322 - EQUIPMENT DEPRECIATION EXPENSE</v>
      </c>
      <c r="C58" s="12"/>
      <c r="D58" s="8">
        <v>14427.62</v>
      </c>
      <c r="E58" s="3"/>
      <c r="F58" s="7">
        <f t="shared" si="4"/>
        <v>7.025273097155299E-2</v>
      </c>
      <c r="G58" s="3"/>
      <c r="H58" s="8">
        <v>38532</v>
      </c>
      <c r="I58" s="3"/>
      <c r="J58" s="7">
        <f t="shared" si="5"/>
        <v>0.13347373963406609</v>
      </c>
      <c r="K58" s="3"/>
      <c r="L58" s="8">
        <f t="shared" si="6"/>
        <v>-24104.379999999997</v>
      </c>
      <c r="M58" s="3"/>
      <c r="N58" s="7">
        <f t="shared" si="7"/>
        <v>-0.62556783971763719</v>
      </c>
      <c r="O58" s="12"/>
      <c r="P58" s="8">
        <v>124449.66</v>
      </c>
      <c r="Q58" s="3"/>
      <c r="R58" s="7">
        <f t="shared" si="8"/>
        <v>6.199407163693834E-2</v>
      </c>
      <c r="S58" s="3"/>
      <c r="T58" s="8">
        <v>430970</v>
      </c>
      <c r="U58" s="3"/>
      <c r="V58" s="7">
        <f t="shared" si="9"/>
        <v>0.16854622477105841</v>
      </c>
      <c r="W58" s="3"/>
      <c r="X58" s="8">
        <f t="shared" si="10"/>
        <v>-306520.33999999997</v>
      </c>
      <c r="Y58" s="3"/>
      <c r="Z58" s="7">
        <f t="shared" si="11"/>
        <v>-0.71123358934496594</v>
      </c>
    </row>
    <row r="59" spans="1:26" s="69" customFormat="1" ht="15" customHeight="1" outlineLevel="1" collapsed="1" x14ac:dyDescent="0.25">
      <c r="A59" s="26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16.2</v>
      </c>
      <c r="E59" s="2"/>
      <c r="F59" s="6">
        <f t="shared" ref="F59:F90" si="12">IF(D$12=0,0,D59/D$12)</f>
        <v>7.8883020327618722E-5</v>
      </c>
      <c r="G59" s="2"/>
      <c r="H59" s="2">
        <f>SUM(OSRRefH22_6x_0)</f>
        <v>140</v>
      </c>
      <c r="I59" s="2"/>
      <c r="J59" s="6">
        <f t="shared" ref="J59:J90" si="13">IF(H$12=0,0,H59/H$12)</f>
        <v>4.8495597292560084E-4</v>
      </c>
      <c r="K59" s="2"/>
      <c r="L59" s="2">
        <f t="shared" ref="L59:L90" si="14">+D59-H59</f>
        <v>-123.8</v>
      </c>
      <c r="M59" s="2"/>
      <c r="N59" s="6">
        <f t="shared" ref="N59:N90" si="15">IF(H59=0,0,L59/H59)</f>
        <v>-0.88428571428571423</v>
      </c>
      <c r="O59" s="14"/>
      <c r="P59" s="2">
        <f>SUM(OSRRefP22_6x_0)</f>
        <v>392.52</v>
      </c>
      <c r="Q59" s="2"/>
      <c r="R59" s="6">
        <f t="shared" ref="R59:R90" si="16">IF(P$12=0,0,P59/P$12)</f>
        <v>1.9553217741961719E-4</v>
      </c>
      <c r="S59" s="2"/>
      <c r="T59" s="2">
        <f>SUM(OSRRefT22_6x_0)</f>
        <v>480</v>
      </c>
      <c r="U59" s="2"/>
      <c r="V59" s="6">
        <f t="shared" ref="V59:V90" si="17">IF(T$12=0,0,T59/T$12)</f>
        <v>1.877211589904356E-4</v>
      </c>
      <c r="W59" s="2"/>
      <c r="X59" s="2">
        <f t="shared" ref="X59:X90" si="18">+P59-T59</f>
        <v>-87.480000000000018</v>
      </c>
      <c r="Y59" s="2"/>
      <c r="Z59" s="6">
        <f t="shared" ref="Z59:Z90" si="19">IF(T59=0,0,X59/T59)</f>
        <v>-0.18225000000000005</v>
      </c>
    </row>
    <row r="60" spans="1:26" s="70" customFormat="1" ht="15" hidden="1" customHeight="1" outlineLevel="2" x14ac:dyDescent="0.25">
      <c r="A60" s="25"/>
      <c r="B60" s="12" t="str">
        <f>CONCATENATE("          ","6277"," - ","EMPLOYEE APPRECIATION")</f>
        <v xml:space="preserve">          6277 - EMPLOYEE APPRECIATION</v>
      </c>
      <c r="C60" s="12"/>
      <c r="D60" s="8">
        <v>16.2</v>
      </c>
      <c r="E60" s="3"/>
      <c r="F60" s="7">
        <f t="shared" si="12"/>
        <v>7.8883020327618722E-5</v>
      </c>
      <c r="G60" s="3"/>
      <c r="H60" s="8">
        <v>140</v>
      </c>
      <c r="I60" s="3"/>
      <c r="J60" s="7">
        <f t="shared" si="13"/>
        <v>4.8495597292560084E-4</v>
      </c>
      <c r="K60" s="3"/>
      <c r="L60" s="8">
        <f t="shared" si="14"/>
        <v>-123.8</v>
      </c>
      <c r="M60" s="3"/>
      <c r="N60" s="7">
        <f t="shared" si="15"/>
        <v>-0.88428571428571423</v>
      </c>
      <c r="O60" s="12"/>
      <c r="P60" s="8">
        <v>392.52</v>
      </c>
      <c r="Q60" s="3"/>
      <c r="R60" s="7">
        <f t="shared" si="16"/>
        <v>1.9553217741961719E-4</v>
      </c>
      <c r="S60" s="3"/>
      <c r="T60" s="8">
        <v>480</v>
      </c>
      <c r="U60" s="3"/>
      <c r="V60" s="7">
        <f t="shared" si="17"/>
        <v>1.877211589904356E-4</v>
      </c>
      <c r="W60" s="3"/>
      <c r="X60" s="8">
        <f t="shared" si="18"/>
        <v>-87.480000000000018</v>
      </c>
      <c r="Y60" s="3"/>
      <c r="Z60" s="7">
        <f t="shared" si="19"/>
        <v>-0.18225000000000005</v>
      </c>
    </row>
    <row r="61" spans="1:26" s="69" customFormat="1" ht="15" customHeight="1" outlineLevel="1" collapsed="1" x14ac:dyDescent="0.25">
      <c r="A61" s="26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927.59</v>
      </c>
      <c r="E61" s="2"/>
      <c r="F61" s="6">
        <f t="shared" si="12"/>
        <v>4.5167346188701146E-3</v>
      </c>
      <c r="G61" s="2"/>
      <c r="H61" s="2">
        <f>SUM(OSRRefH22_7x_0)</f>
        <v>951</v>
      </c>
      <c r="I61" s="2"/>
      <c r="J61" s="6">
        <f t="shared" si="13"/>
        <v>3.2942366446589029E-3</v>
      </c>
      <c r="K61" s="2"/>
      <c r="L61" s="2">
        <f t="shared" si="14"/>
        <v>-23.409999999999968</v>
      </c>
      <c r="M61" s="2"/>
      <c r="N61" s="6">
        <f t="shared" si="15"/>
        <v>-2.461619348054676E-2</v>
      </c>
      <c r="O61" s="14"/>
      <c r="P61" s="2">
        <f>SUM(OSRRefP22_7x_0)</f>
        <v>10978.3</v>
      </c>
      <c r="Q61" s="2"/>
      <c r="R61" s="6">
        <f t="shared" si="16"/>
        <v>5.4687937006159771E-3</v>
      </c>
      <c r="S61" s="2"/>
      <c r="T61" s="2">
        <f>SUM(OSRRefT22_7x_0)</f>
        <v>10461</v>
      </c>
      <c r="U61" s="2"/>
      <c r="V61" s="6">
        <f t="shared" si="17"/>
        <v>4.0911480087478056E-3</v>
      </c>
      <c r="W61" s="2"/>
      <c r="X61" s="2">
        <f t="shared" si="18"/>
        <v>517.29999999999927</v>
      </c>
      <c r="Y61" s="2"/>
      <c r="Z61" s="6">
        <f t="shared" si="19"/>
        <v>4.9450339355702061E-2</v>
      </c>
    </row>
    <row r="62" spans="1:26" s="70" customFormat="1" ht="15" hidden="1" customHeight="1" outlineLevel="2" x14ac:dyDescent="0.25">
      <c r="A62" s="25"/>
      <c r="B62" s="12" t="str">
        <f>CONCATENATE("          ","6351"," - ","EQUIPMENT RENTAL")</f>
        <v xml:space="preserve">          6351 - EQUIPMENT RENTAL</v>
      </c>
      <c r="C62" s="12"/>
      <c r="D62" s="8">
        <v>927.59</v>
      </c>
      <c r="E62" s="3"/>
      <c r="F62" s="7">
        <f t="shared" si="12"/>
        <v>4.5167346188701146E-3</v>
      </c>
      <c r="G62" s="3"/>
      <c r="H62" s="8">
        <v>951</v>
      </c>
      <c r="I62" s="3"/>
      <c r="J62" s="7">
        <f t="shared" si="13"/>
        <v>3.2942366446589029E-3</v>
      </c>
      <c r="K62" s="3"/>
      <c r="L62" s="8">
        <f t="shared" si="14"/>
        <v>-23.409999999999968</v>
      </c>
      <c r="M62" s="3"/>
      <c r="N62" s="7">
        <f t="shared" si="15"/>
        <v>-2.461619348054676E-2</v>
      </c>
      <c r="O62" s="12"/>
      <c r="P62" s="8">
        <v>10978.3</v>
      </c>
      <c r="Q62" s="3"/>
      <c r="R62" s="7">
        <f t="shared" si="16"/>
        <v>5.4687937006159771E-3</v>
      </c>
      <c r="S62" s="3"/>
      <c r="T62" s="8">
        <v>10461</v>
      </c>
      <c r="U62" s="3"/>
      <c r="V62" s="7">
        <f t="shared" si="17"/>
        <v>4.0911480087478056E-3</v>
      </c>
      <c r="W62" s="3"/>
      <c r="X62" s="8">
        <f t="shared" si="18"/>
        <v>517.29999999999927</v>
      </c>
      <c r="Y62" s="3"/>
      <c r="Z62" s="7">
        <f t="shared" si="19"/>
        <v>4.9450339355702061E-2</v>
      </c>
    </row>
    <row r="63" spans="1:26" s="69" customFormat="1" ht="15" customHeight="1" outlineLevel="1" collapsed="1" x14ac:dyDescent="0.25">
      <c r="A63" s="26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27571.23</v>
      </c>
      <c r="E63" s="2"/>
      <c r="F63" s="6">
        <f t="shared" si="12"/>
        <v>0.13425320349058339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27571.23</v>
      </c>
      <c r="M63" s="2"/>
      <c r="N63" s="6">
        <f t="shared" si="15"/>
        <v>0</v>
      </c>
      <c r="O63" s="14"/>
      <c r="P63" s="2">
        <f>SUM(OSRRefP22_8x_0)</f>
        <v>50972.78</v>
      </c>
      <c r="Q63" s="2"/>
      <c r="R63" s="6">
        <f t="shared" si="16"/>
        <v>2.5391874713469671E-2</v>
      </c>
      <c r="S63" s="2"/>
      <c r="T63" s="2">
        <f>SUM(OSRRefT22_8x_0)</f>
        <v>6900</v>
      </c>
      <c r="U63" s="2"/>
      <c r="V63" s="6">
        <f t="shared" si="17"/>
        <v>2.6984916604875118E-3</v>
      </c>
      <c r="W63" s="2"/>
      <c r="X63" s="2">
        <f t="shared" si="18"/>
        <v>44072.78</v>
      </c>
      <c r="Y63" s="2"/>
      <c r="Z63" s="6">
        <f t="shared" si="19"/>
        <v>6.3873594202898545</v>
      </c>
    </row>
    <row r="64" spans="1:26" s="70" customFormat="1" ht="15" hidden="1" customHeight="1" outlineLevel="2" x14ac:dyDescent="0.25">
      <c r="A64" s="25"/>
      <c r="B64" s="12" t="str">
        <f>CONCATENATE("          ","6269"," - ","ENTERTAINMENT")</f>
        <v xml:space="preserve">          6269 - ENTERTAINMENT</v>
      </c>
      <c r="C64" s="12"/>
      <c r="D64" s="8"/>
      <c r="E64" s="3"/>
      <c r="F64" s="7">
        <f t="shared" si="12"/>
        <v>0</v>
      </c>
      <c r="G64" s="3"/>
      <c r="H64" s="8"/>
      <c r="I64" s="3"/>
      <c r="J64" s="7">
        <f t="shared" si="13"/>
        <v>0</v>
      </c>
      <c r="K64" s="3"/>
      <c r="L64" s="8">
        <f t="shared" si="14"/>
        <v>0</v>
      </c>
      <c r="M64" s="3"/>
      <c r="N64" s="7">
        <f t="shared" si="15"/>
        <v>0</v>
      </c>
      <c r="O64" s="12"/>
      <c r="P64" s="8"/>
      <c r="Q64" s="3"/>
      <c r="R64" s="7">
        <f t="shared" si="16"/>
        <v>0</v>
      </c>
      <c r="S64" s="3"/>
      <c r="T64" s="8">
        <v>500</v>
      </c>
      <c r="U64" s="3"/>
      <c r="V64" s="7">
        <f t="shared" si="17"/>
        <v>1.9554287394837042E-4</v>
      </c>
      <c r="W64" s="3"/>
      <c r="X64" s="8">
        <f t="shared" si="18"/>
        <v>-500</v>
      </c>
      <c r="Y64" s="3"/>
      <c r="Z64" s="7">
        <f t="shared" si="19"/>
        <v>-1</v>
      </c>
    </row>
    <row r="65" spans="1:26" s="70" customFormat="1" ht="15" hidden="1" customHeight="1" outlineLevel="2" x14ac:dyDescent="0.25">
      <c r="A65" s="25"/>
      <c r="B65" s="12" t="str">
        <f>CONCATENATE("          ","6279"," - ","GENERAL EXPENSE")</f>
        <v xml:space="preserve">          6279 - GENERAL EXPENSE</v>
      </c>
      <c r="C65" s="12"/>
      <c r="D65" s="8">
        <v>27571.23</v>
      </c>
      <c r="E65" s="3"/>
      <c r="F65" s="7">
        <f t="shared" si="12"/>
        <v>0.13425320349058339</v>
      </c>
      <c r="G65" s="3"/>
      <c r="H65" s="8"/>
      <c r="I65" s="3"/>
      <c r="J65" s="7">
        <f t="shared" si="13"/>
        <v>0</v>
      </c>
      <c r="K65" s="3"/>
      <c r="L65" s="8">
        <f t="shared" si="14"/>
        <v>27571.23</v>
      </c>
      <c r="M65" s="3"/>
      <c r="N65" s="7">
        <f t="shared" si="15"/>
        <v>0</v>
      </c>
      <c r="O65" s="12"/>
      <c r="P65" s="8">
        <v>50972.78</v>
      </c>
      <c r="Q65" s="3"/>
      <c r="R65" s="7">
        <f t="shared" si="16"/>
        <v>2.5391874713469671E-2</v>
      </c>
      <c r="S65" s="3"/>
      <c r="T65" s="8">
        <v>6400</v>
      </c>
      <c r="U65" s="3"/>
      <c r="V65" s="7">
        <f t="shared" si="17"/>
        <v>2.5029487865391416E-3</v>
      </c>
      <c r="W65" s="3"/>
      <c r="X65" s="8">
        <f t="shared" si="18"/>
        <v>44572.78</v>
      </c>
      <c r="Y65" s="3"/>
      <c r="Z65" s="7">
        <f t="shared" si="19"/>
        <v>6.964496875</v>
      </c>
    </row>
    <row r="66" spans="1:26" s="69" customFormat="1" ht="15" customHeight="1" outlineLevel="1" collapsed="1" x14ac:dyDescent="0.25">
      <c r="A66" s="26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SUM(OSRRefD22_9x_0)</f>
        <v>6087.22</v>
      </c>
      <c r="E66" s="2"/>
      <c r="F66" s="6">
        <f t="shared" si="12"/>
        <v>2.9640635740659706E-2</v>
      </c>
      <c r="G66" s="2"/>
      <c r="H66" s="2">
        <f>SUM(OSRRefH22_9x_0)</f>
        <v>6000</v>
      </c>
      <c r="I66" s="2"/>
      <c r="J66" s="6">
        <f t="shared" si="13"/>
        <v>2.0783827411097178E-2</v>
      </c>
      <c r="K66" s="2"/>
      <c r="L66" s="2">
        <f t="shared" si="14"/>
        <v>87.220000000000255</v>
      </c>
      <c r="M66" s="2"/>
      <c r="N66" s="6">
        <f t="shared" si="15"/>
        <v>1.453666666666671E-2</v>
      </c>
      <c r="O66" s="14"/>
      <c r="P66" s="2">
        <f>SUM(OSRRefP22_9x_0)</f>
        <v>73842.42</v>
      </c>
      <c r="Q66" s="2"/>
      <c r="R66" s="6">
        <f t="shared" si="16"/>
        <v>3.6784289128028863E-2</v>
      </c>
      <c r="S66" s="2"/>
      <c r="T66" s="2">
        <f>SUM(OSRRefT22_9x_0)</f>
        <v>66000</v>
      </c>
      <c r="U66" s="2"/>
      <c r="V66" s="6">
        <f t="shared" si="17"/>
        <v>2.5811659361184895E-2</v>
      </c>
      <c r="W66" s="2"/>
      <c r="X66" s="2">
        <f t="shared" si="18"/>
        <v>7842.4199999999983</v>
      </c>
      <c r="Y66" s="2"/>
      <c r="Z66" s="6">
        <f t="shared" si="19"/>
        <v>0.11882454545454543</v>
      </c>
    </row>
    <row r="67" spans="1:26" s="70" customFormat="1" ht="15" hidden="1" customHeight="1" outlineLevel="2" x14ac:dyDescent="0.25">
      <c r="A67" s="25"/>
      <c r="B67" s="12" t="str">
        <f>CONCATENATE("          ","6314"," - ","LIABILITY INSURANCE")</f>
        <v xml:space="preserve">          6314 - LIABILITY INSURANCE</v>
      </c>
      <c r="C67" s="12"/>
      <c r="D67" s="8">
        <v>6087.22</v>
      </c>
      <c r="E67" s="3"/>
      <c r="F67" s="7">
        <f t="shared" si="12"/>
        <v>2.9640635740659706E-2</v>
      </c>
      <c r="G67" s="3"/>
      <c r="H67" s="8">
        <v>6000</v>
      </c>
      <c r="I67" s="3"/>
      <c r="J67" s="7">
        <f t="shared" si="13"/>
        <v>2.0783827411097178E-2</v>
      </c>
      <c r="K67" s="3"/>
      <c r="L67" s="8">
        <f t="shared" si="14"/>
        <v>87.220000000000255</v>
      </c>
      <c r="M67" s="3"/>
      <c r="N67" s="7">
        <f t="shared" si="15"/>
        <v>1.453666666666671E-2</v>
      </c>
      <c r="O67" s="12"/>
      <c r="P67" s="8">
        <v>73842.42</v>
      </c>
      <c r="Q67" s="3"/>
      <c r="R67" s="7">
        <f t="shared" si="16"/>
        <v>3.6784289128028863E-2</v>
      </c>
      <c r="S67" s="3"/>
      <c r="T67" s="8">
        <v>66000</v>
      </c>
      <c r="U67" s="3"/>
      <c r="V67" s="7">
        <f t="shared" si="17"/>
        <v>2.5811659361184895E-2</v>
      </c>
      <c r="W67" s="3"/>
      <c r="X67" s="8">
        <f t="shared" si="18"/>
        <v>7842.4199999999983</v>
      </c>
      <c r="Y67" s="3"/>
      <c r="Z67" s="7">
        <f t="shared" si="19"/>
        <v>0.11882454545454543</v>
      </c>
    </row>
    <row r="68" spans="1:26" s="69" customFormat="1" ht="15" customHeight="1" outlineLevel="1" collapsed="1" x14ac:dyDescent="0.25">
      <c r="A68" s="26"/>
      <c r="B68" s="14" t="str">
        <f>CONCATENATE("     ","Interest                                          ")</f>
        <v xml:space="preserve">     Interest                                          </v>
      </c>
      <c r="C68" s="14"/>
      <c r="D68" s="2">
        <f>SUM(OSRRefD22_10x_0)</f>
        <v>11158</v>
      </c>
      <c r="E68" s="2"/>
      <c r="F68" s="6">
        <f t="shared" si="12"/>
        <v>5.4331897581208002E-2</v>
      </c>
      <c r="G68" s="2"/>
      <c r="H68" s="2">
        <f>SUM(OSRRefH22_10x_0)</f>
        <v>10742</v>
      </c>
      <c r="I68" s="2"/>
      <c r="J68" s="6">
        <f t="shared" si="13"/>
        <v>3.7209979008334317E-2</v>
      </c>
      <c r="K68" s="2"/>
      <c r="L68" s="2">
        <f t="shared" si="14"/>
        <v>416</v>
      </c>
      <c r="M68" s="2"/>
      <c r="N68" s="6">
        <f t="shared" si="15"/>
        <v>3.8726494135170361E-2</v>
      </c>
      <c r="O68" s="14"/>
      <c r="P68" s="2">
        <f>SUM(OSRRefP22_10x_0)</f>
        <v>119450</v>
      </c>
      <c r="Q68" s="2"/>
      <c r="R68" s="6">
        <f t="shared" si="16"/>
        <v>5.9503512159312322E-2</v>
      </c>
      <c r="S68" s="2"/>
      <c r="T68" s="2">
        <f>SUM(OSRRefT22_10x_0)</f>
        <v>122322</v>
      </c>
      <c r="U68" s="2"/>
      <c r="V68" s="6">
        <f t="shared" si="17"/>
        <v>4.7838390854225137E-2</v>
      </c>
      <c r="W68" s="2"/>
      <c r="X68" s="2">
        <f t="shared" si="18"/>
        <v>-2872</v>
      </c>
      <c r="Y68" s="2"/>
      <c r="Z68" s="6">
        <f t="shared" si="19"/>
        <v>-2.3479014404604242E-2</v>
      </c>
    </row>
    <row r="69" spans="1:26" s="70" customFormat="1" ht="15" hidden="1" customHeight="1" outlineLevel="2" x14ac:dyDescent="0.25">
      <c r="A69" s="25"/>
      <c r="B69" s="12" t="str">
        <f>CONCATENATE("          ","6401"," - ","INTEREST EXPENSE")</f>
        <v xml:space="preserve">          6401 - INTEREST EXPENSE</v>
      </c>
      <c r="C69" s="12"/>
      <c r="D69" s="8">
        <v>11158</v>
      </c>
      <c r="E69" s="3"/>
      <c r="F69" s="7">
        <f t="shared" si="12"/>
        <v>5.4331897581208002E-2</v>
      </c>
      <c r="G69" s="3"/>
      <c r="H69" s="8">
        <v>10742</v>
      </c>
      <c r="I69" s="3"/>
      <c r="J69" s="7">
        <f t="shared" si="13"/>
        <v>3.7209979008334317E-2</v>
      </c>
      <c r="K69" s="3"/>
      <c r="L69" s="8">
        <f t="shared" si="14"/>
        <v>416</v>
      </c>
      <c r="M69" s="3"/>
      <c r="N69" s="7">
        <f t="shared" si="15"/>
        <v>3.8726494135170361E-2</v>
      </c>
      <c r="O69" s="12"/>
      <c r="P69" s="8">
        <v>119450</v>
      </c>
      <c r="Q69" s="3"/>
      <c r="R69" s="7">
        <f t="shared" si="16"/>
        <v>5.9503512159312322E-2</v>
      </c>
      <c r="S69" s="3"/>
      <c r="T69" s="8">
        <v>122322</v>
      </c>
      <c r="U69" s="3"/>
      <c r="V69" s="7">
        <f t="shared" si="17"/>
        <v>4.7838390854225137E-2</v>
      </c>
      <c r="W69" s="3"/>
      <c r="X69" s="8">
        <f t="shared" si="18"/>
        <v>-2872</v>
      </c>
      <c r="Y69" s="3"/>
      <c r="Z69" s="7">
        <f t="shared" si="19"/>
        <v>-2.3479014404604242E-2</v>
      </c>
    </row>
    <row r="70" spans="1:26" s="69" customFormat="1" ht="15" customHeight="1" outlineLevel="1" collapsed="1" x14ac:dyDescent="0.25">
      <c r="A70" s="26"/>
      <c r="B70" s="14" t="str">
        <f>CONCATENATE("     ","Professional Services                             ")</f>
        <v xml:space="preserve">     Professional Services                             </v>
      </c>
      <c r="C70" s="14"/>
      <c r="D70" s="2">
        <f>SUM(OSRRefD22_11x_0)</f>
        <v>511.58</v>
      </c>
      <c r="E70" s="2"/>
      <c r="F70" s="6">
        <f t="shared" si="12"/>
        <v>2.4910478727903198E-3</v>
      </c>
      <c r="G70" s="2"/>
      <c r="H70" s="2">
        <f>SUM(OSRRefH22_11x_0)</f>
        <v>0</v>
      </c>
      <c r="I70" s="2"/>
      <c r="J70" s="6">
        <f t="shared" si="13"/>
        <v>0</v>
      </c>
      <c r="K70" s="2"/>
      <c r="L70" s="2">
        <f t="shared" si="14"/>
        <v>511.58</v>
      </c>
      <c r="M70" s="2"/>
      <c r="N70" s="6">
        <f t="shared" si="15"/>
        <v>0</v>
      </c>
      <c r="O70" s="14"/>
      <c r="P70" s="2">
        <f>SUM(OSRRefP22_11x_0)</f>
        <v>511.58</v>
      </c>
      <c r="Q70" s="2"/>
      <c r="R70" s="6">
        <f t="shared" si="16"/>
        <v>2.5484141272884888E-4</v>
      </c>
      <c r="S70" s="2"/>
      <c r="T70" s="2">
        <f>SUM(OSRRefT22_11x_0)</f>
        <v>0</v>
      </c>
      <c r="U70" s="2"/>
      <c r="V70" s="6">
        <f t="shared" si="17"/>
        <v>0</v>
      </c>
      <c r="W70" s="2"/>
      <c r="X70" s="2">
        <f t="shared" si="18"/>
        <v>511.58</v>
      </c>
      <c r="Y70" s="2"/>
      <c r="Z70" s="6">
        <f t="shared" si="19"/>
        <v>0</v>
      </c>
    </row>
    <row r="71" spans="1:26" s="70" customFormat="1" ht="15" hidden="1" customHeight="1" outlineLevel="2" x14ac:dyDescent="0.25">
      <c r="A71" s="25"/>
      <c r="B71" s="12" t="str">
        <f>CONCATENATE("          ","6336"," - ","PROFESSIONAL SERVICES")</f>
        <v xml:space="preserve">          6336 - PROFESSIONAL SERVICES</v>
      </c>
      <c r="C71" s="12"/>
      <c r="D71" s="8">
        <v>511.58</v>
      </c>
      <c r="E71" s="3"/>
      <c r="F71" s="7">
        <f t="shared" si="12"/>
        <v>2.4910478727903198E-3</v>
      </c>
      <c r="G71" s="3"/>
      <c r="H71" s="8"/>
      <c r="I71" s="3"/>
      <c r="J71" s="7">
        <f t="shared" si="13"/>
        <v>0</v>
      </c>
      <c r="K71" s="3"/>
      <c r="L71" s="8">
        <f t="shared" si="14"/>
        <v>511.58</v>
      </c>
      <c r="M71" s="3"/>
      <c r="N71" s="7">
        <f t="shared" si="15"/>
        <v>0</v>
      </c>
      <c r="O71" s="12"/>
      <c r="P71" s="8">
        <v>511.58</v>
      </c>
      <c r="Q71" s="3"/>
      <c r="R71" s="7">
        <f t="shared" si="16"/>
        <v>2.5484141272884888E-4</v>
      </c>
      <c r="S71" s="3"/>
      <c r="T71" s="8"/>
      <c r="U71" s="3"/>
      <c r="V71" s="7">
        <f t="shared" si="17"/>
        <v>0</v>
      </c>
      <c r="W71" s="3"/>
      <c r="X71" s="8">
        <f t="shared" si="18"/>
        <v>511.58</v>
      </c>
      <c r="Y71" s="3"/>
      <c r="Z71" s="7">
        <f t="shared" si="19"/>
        <v>0</v>
      </c>
    </row>
    <row r="72" spans="1:26" s="69" customFormat="1" ht="15" customHeight="1" outlineLevel="1" collapsed="1" x14ac:dyDescent="0.25">
      <c r="A72" s="26"/>
      <c r="B72" s="14" t="str">
        <f>CONCATENATE("     ","Rent                                              ")</f>
        <v xml:space="preserve">     Rent                                              </v>
      </c>
      <c r="C72" s="14"/>
      <c r="D72" s="2">
        <f>SUM(OSRRefD22_12x_0)</f>
        <v>1850</v>
      </c>
      <c r="E72" s="2"/>
      <c r="F72" s="6">
        <f t="shared" si="12"/>
        <v>9.0082461485243605E-3</v>
      </c>
      <c r="G72" s="2"/>
      <c r="H72" s="2">
        <f>SUM(OSRRefH22_12x_0)</f>
        <v>1850</v>
      </c>
      <c r="I72" s="2"/>
      <c r="J72" s="6">
        <f t="shared" si="13"/>
        <v>6.408346785088297E-3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SUM(OSRRefP22_12x_0)</f>
        <v>20350</v>
      </c>
      <c r="Q72" s="2"/>
      <c r="R72" s="6">
        <f t="shared" si="16"/>
        <v>1.0137266408053628E-2</v>
      </c>
      <c r="S72" s="2"/>
      <c r="T72" s="2">
        <f>SUM(OSRRefT22_12x_0)</f>
        <v>20350</v>
      </c>
      <c r="U72" s="2"/>
      <c r="V72" s="6">
        <f t="shared" si="17"/>
        <v>7.9585949696986766E-3</v>
      </c>
      <c r="W72" s="2"/>
      <c r="X72" s="2">
        <f t="shared" si="18"/>
        <v>0</v>
      </c>
      <c r="Y72" s="2"/>
      <c r="Z72" s="6">
        <f t="shared" si="19"/>
        <v>0</v>
      </c>
    </row>
    <row r="73" spans="1:26" s="70" customFormat="1" ht="15" hidden="1" customHeight="1" outlineLevel="2" x14ac:dyDescent="0.25">
      <c r="A73" s="25"/>
      <c r="B73" s="12" t="str">
        <f>CONCATENATE("          ","6273"," - ","RENT")</f>
        <v xml:space="preserve">          6273 - RENT</v>
      </c>
      <c r="C73" s="12"/>
      <c r="D73" s="8">
        <v>1850</v>
      </c>
      <c r="E73" s="3"/>
      <c r="F73" s="7">
        <f t="shared" si="12"/>
        <v>9.0082461485243605E-3</v>
      </c>
      <c r="G73" s="3"/>
      <c r="H73" s="8">
        <v>1850</v>
      </c>
      <c r="I73" s="3"/>
      <c r="J73" s="7">
        <f t="shared" si="13"/>
        <v>6.408346785088297E-3</v>
      </c>
      <c r="K73" s="3"/>
      <c r="L73" s="8">
        <f t="shared" si="14"/>
        <v>0</v>
      </c>
      <c r="M73" s="3"/>
      <c r="N73" s="7">
        <f t="shared" si="15"/>
        <v>0</v>
      </c>
      <c r="O73" s="12"/>
      <c r="P73" s="8">
        <v>20350</v>
      </c>
      <c r="Q73" s="3"/>
      <c r="R73" s="7">
        <f t="shared" si="16"/>
        <v>1.0137266408053628E-2</v>
      </c>
      <c r="S73" s="3"/>
      <c r="T73" s="8">
        <v>20350</v>
      </c>
      <c r="U73" s="3"/>
      <c r="V73" s="7">
        <f t="shared" si="17"/>
        <v>7.9585949696986766E-3</v>
      </c>
      <c r="W73" s="3"/>
      <c r="X73" s="8">
        <f t="shared" si="18"/>
        <v>0</v>
      </c>
      <c r="Y73" s="3"/>
      <c r="Z73" s="7">
        <f t="shared" si="19"/>
        <v>0</v>
      </c>
    </row>
    <row r="74" spans="1:26" s="69" customFormat="1" ht="15" customHeight="1" outlineLevel="1" collapsed="1" x14ac:dyDescent="0.25">
      <c r="A74" s="26"/>
      <c r="B74" s="14" t="str">
        <f>CONCATENATE("     ","Repair and Maintenance                            ")</f>
        <v xml:space="preserve">     Repair and Maintenance                            </v>
      </c>
      <c r="C74" s="14"/>
      <c r="D74" s="2">
        <f>SUM(OSRRefD22_13x_0)</f>
        <v>8861.42</v>
      </c>
      <c r="E74" s="2"/>
      <c r="F74" s="6">
        <f t="shared" si="12"/>
        <v>4.3149109505652289E-2</v>
      </c>
      <c r="G74" s="2"/>
      <c r="H74" s="2">
        <f>SUM(OSRRefH22_13x_0)</f>
        <v>2894</v>
      </c>
      <c r="I74" s="2"/>
      <c r="J74" s="6">
        <f t="shared" si="13"/>
        <v>1.0024732754619205E-2</v>
      </c>
      <c r="K74" s="2"/>
      <c r="L74" s="2">
        <f t="shared" si="14"/>
        <v>5967.42</v>
      </c>
      <c r="M74" s="2"/>
      <c r="N74" s="6">
        <f t="shared" si="15"/>
        <v>2.061997235659986</v>
      </c>
      <c r="O74" s="14"/>
      <c r="P74" s="2">
        <f>SUM(OSRRefP22_13x_0)</f>
        <v>99273.65</v>
      </c>
      <c r="Q74" s="2"/>
      <c r="R74" s="6">
        <f t="shared" si="16"/>
        <v>4.9452748764121521E-2</v>
      </c>
      <c r="S74" s="2"/>
      <c r="T74" s="2">
        <f>SUM(OSRRefT22_13x_0)</f>
        <v>59059</v>
      </c>
      <c r="U74" s="2"/>
      <c r="V74" s="6">
        <f t="shared" si="17"/>
        <v>2.3097133185033619E-2</v>
      </c>
      <c r="W74" s="2"/>
      <c r="X74" s="2">
        <f t="shared" si="18"/>
        <v>40214.649999999994</v>
      </c>
      <c r="Y74" s="2"/>
      <c r="Z74" s="6">
        <f t="shared" si="19"/>
        <v>0.68092331397416128</v>
      </c>
    </row>
    <row r="75" spans="1:26" s="70" customFormat="1" ht="15" hidden="1" customHeight="1" outlineLevel="2" x14ac:dyDescent="0.25">
      <c r="A75" s="25"/>
      <c r="B75" s="12" t="str">
        <f>CONCATENATE("          ","6371"," - ","COMPUTER SOFTWARE MAINTENANCE")</f>
        <v xml:space="preserve">          6371 - COMPUTER SOFTWARE MAINTENANCE</v>
      </c>
      <c r="C75" s="12"/>
      <c r="D75" s="8"/>
      <c r="E75" s="3"/>
      <c r="F75" s="7">
        <f t="shared" si="12"/>
        <v>0</v>
      </c>
      <c r="G75" s="3"/>
      <c r="H75" s="8"/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>
        <v>16567.060000000001</v>
      </c>
      <c r="Q75" s="3"/>
      <c r="R75" s="7">
        <f t="shared" si="16"/>
        <v>8.2528108510176376E-3</v>
      </c>
      <c r="S75" s="3"/>
      <c r="T75" s="8">
        <v>2623</v>
      </c>
      <c r="U75" s="3"/>
      <c r="V75" s="7">
        <f t="shared" si="17"/>
        <v>1.0258179167331512E-3</v>
      </c>
      <c r="W75" s="3"/>
      <c r="X75" s="8">
        <f t="shared" si="18"/>
        <v>13944.060000000001</v>
      </c>
      <c r="Y75" s="3"/>
      <c r="Z75" s="7">
        <f t="shared" si="19"/>
        <v>5.3160731986275263</v>
      </c>
    </row>
    <row r="76" spans="1:26" s="70" customFormat="1" ht="15" hidden="1" customHeight="1" outlineLevel="2" x14ac:dyDescent="0.25">
      <c r="A76" s="25"/>
      <c r="B76" s="12" t="str">
        <f>CONCATENATE("          ","6372"," - ","COMPUTER HARDWARE MAINTENANCE")</f>
        <v xml:space="preserve">          6372 - COMPUTER HARDWARE MAINTENANCE</v>
      </c>
      <c r="C76" s="12"/>
      <c r="D76" s="8"/>
      <c r="E76" s="3"/>
      <c r="F76" s="7">
        <f t="shared" si="12"/>
        <v>0</v>
      </c>
      <c r="G76" s="3"/>
      <c r="H76" s="8"/>
      <c r="I76" s="3"/>
      <c r="J76" s="7">
        <f t="shared" si="13"/>
        <v>0</v>
      </c>
      <c r="K76" s="3"/>
      <c r="L76" s="8">
        <f t="shared" si="14"/>
        <v>0</v>
      </c>
      <c r="M76" s="3"/>
      <c r="N76" s="7">
        <f t="shared" si="15"/>
        <v>0</v>
      </c>
      <c r="O76" s="12"/>
      <c r="P76" s="8"/>
      <c r="Q76" s="3"/>
      <c r="R76" s="7">
        <f t="shared" si="16"/>
        <v>0</v>
      </c>
      <c r="S76" s="3"/>
      <c r="T76" s="8">
        <v>8000</v>
      </c>
      <c r="U76" s="3"/>
      <c r="V76" s="7">
        <f t="shared" si="17"/>
        <v>3.1286859831739268E-3</v>
      </c>
      <c r="W76" s="3"/>
      <c r="X76" s="8">
        <f t="shared" si="18"/>
        <v>-8000</v>
      </c>
      <c r="Y76" s="3"/>
      <c r="Z76" s="7">
        <f t="shared" si="19"/>
        <v>-1</v>
      </c>
    </row>
    <row r="77" spans="1:26" s="70" customFormat="1" ht="15" hidden="1" customHeight="1" outlineLevel="2" x14ac:dyDescent="0.25">
      <c r="A77" s="25"/>
      <c r="B77" s="12" t="str">
        <f>CONCATENATE("          ","6373"," - ","MAINTENANCE CONTRACTS")</f>
        <v xml:space="preserve">          6373 - MAINTENANCE CONTRACTS</v>
      </c>
      <c r="C77" s="12"/>
      <c r="D77" s="8">
        <v>4960.46</v>
      </c>
      <c r="E77" s="3"/>
      <c r="F77" s="7">
        <f t="shared" si="12"/>
        <v>2.4154078210761702E-2</v>
      </c>
      <c r="G77" s="3"/>
      <c r="H77" s="8"/>
      <c r="I77" s="3"/>
      <c r="J77" s="7">
        <f t="shared" si="13"/>
        <v>0</v>
      </c>
      <c r="K77" s="3"/>
      <c r="L77" s="8">
        <f t="shared" si="14"/>
        <v>4960.46</v>
      </c>
      <c r="M77" s="3"/>
      <c r="N77" s="7">
        <f t="shared" si="15"/>
        <v>0</v>
      </c>
      <c r="O77" s="12"/>
      <c r="P77" s="8">
        <v>22519.46</v>
      </c>
      <c r="Q77" s="3"/>
      <c r="R77" s="7">
        <f t="shared" si="16"/>
        <v>1.1217973729017559E-2</v>
      </c>
      <c r="S77" s="3"/>
      <c r="T77" s="8">
        <v>6919</v>
      </c>
      <c r="U77" s="3"/>
      <c r="V77" s="7">
        <f t="shared" si="17"/>
        <v>2.7059222896975497E-3</v>
      </c>
      <c r="W77" s="3"/>
      <c r="X77" s="8">
        <f t="shared" si="18"/>
        <v>15600.46</v>
      </c>
      <c r="Y77" s="3"/>
      <c r="Z77" s="7">
        <f t="shared" si="19"/>
        <v>2.2547275617863853</v>
      </c>
    </row>
    <row r="78" spans="1:26" s="70" customFormat="1" ht="15" hidden="1" customHeight="1" outlineLevel="2" x14ac:dyDescent="0.25">
      <c r="A78" s="25"/>
      <c r="B78" s="12" t="str">
        <f>CONCATENATE("          ","6375"," - ","OUTSIDE REPAIRS &amp; MAINTENANCE")</f>
        <v xml:space="preserve">          6375 - OUTSIDE REPAIRS &amp; MAINTENANCE</v>
      </c>
      <c r="C78" s="12"/>
      <c r="D78" s="8">
        <v>3900.96</v>
      </c>
      <c r="E78" s="3"/>
      <c r="F78" s="7">
        <f t="shared" si="12"/>
        <v>1.8995031294890587E-2</v>
      </c>
      <c r="G78" s="3"/>
      <c r="H78" s="8">
        <v>2894</v>
      </c>
      <c r="I78" s="3"/>
      <c r="J78" s="7">
        <f t="shared" si="13"/>
        <v>1.0024732754619205E-2</v>
      </c>
      <c r="K78" s="3"/>
      <c r="L78" s="8">
        <f t="shared" si="14"/>
        <v>1006.96</v>
      </c>
      <c r="M78" s="3"/>
      <c r="N78" s="7">
        <f t="shared" si="15"/>
        <v>0.34794747753973743</v>
      </c>
      <c r="O78" s="12"/>
      <c r="P78" s="8">
        <v>60187.13</v>
      </c>
      <c r="Q78" s="3"/>
      <c r="R78" s="7">
        <f t="shared" si="16"/>
        <v>2.9981964184086322E-2</v>
      </c>
      <c r="S78" s="3"/>
      <c r="T78" s="8">
        <v>41517</v>
      </c>
      <c r="U78" s="3"/>
      <c r="V78" s="7">
        <f t="shared" si="17"/>
        <v>1.6236706995428989E-2</v>
      </c>
      <c r="W78" s="3"/>
      <c r="X78" s="8">
        <f t="shared" si="18"/>
        <v>18670.129999999997</v>
      </c>
      <c r="Y78" s="3"/>
      <c r="Z78" s="7">
        <f t="shared" si="19"/>
        <v>0.44969843678493143</v>
      </c>
    </row>
    <row r="79" spans="1:26" s="69" customFormat="1" ht="15" customHeight="1" outlineLevel="1" collapsed="1" x14ac:dyDescent="0.25">
      <c r="A79" s="26"/>
      <c r="B79" s="14" t="str">
        <f>CONCATENATE("     ","Royalty &amp; Commissions                             ")</f>
        <v xml:space="preserve">     Royalty &amp; Commissions                             </v>
      </c>
      <c r="C79" s="14"/>
      <c r="D79" s="2">
        <f>SUM(OSRRefD22_14x_0)</f>
        <v>123.36</v>
      </c>
      <c r="E79" s="2"/>
      <c r="F79" s="6">
        <f t="shared" si="12"/>
        <v>6.0067959182808915E-4</v>
      </c>
      <c r="G79" s="2"/>
      <c r="H79" s="2">
        <f>SUM(OSRRefH22_14x_0)</f>
        <v>1239</v>
      </c>
      <c r="I79" s="2"/>
      <c r="J79" s="6">
        <f t="shared" si="13"/>
        <v>4.2918603603915671E-3</v>
      </c>
      <c r="K79" s="2"/>
      <c r="L79" s="2">
        <f t="shared" si="14"/>
        <v>-1115.6400000000001</v>
      </c>
      <c r="M79" s="2"/>
      <c r="N79" s="6">
        <f t="shared" si="15"/>
        <v>-0.90043583535108962</v>
      </c>
      <c r="O79" s="14"/>
      <c r="P79" s="2">
        <f>SUM(OSRRefP22_14x_0)</f>
        <v>10553.93</v>
      </c>
      <c r="Q79" s="2"/>
      <c r="R79" s="6">
        <f t="shared" si="16"/>
        <v>5.257395580439775E-3</v>
      </c>
      <c r="S79" s="2"/>
      <c r="T79" s="2">
        <f>SUM(OSRRefT22_14x_0)</f>
        <v>13834</v>
      </c>
      <c r="U79" s="2"/>
      <c r="V79" s="6">
        <f t="shared" si="17"/>
        <v>5.410280236403513E-3</v>
      </c>
      <c r="W79" s="2"/>
      <c r="X79" s="2">
        <f t="shared" si="18"/>
        <v>-3280.0699999999997</v>
      </c>
      <c r="Y79" s="2"/>
      <c r="Z79" s="6">
        <f t="shared" si="19"/>
        <v>-0.23710206737024719</v>
      </c>
    </row>
    <row r="80" spans="1:26" s="70" customFormat="1" ht="15" hidden="1" customHeight="1" outlineLevel="2" x14ac:dyDescent="0.25">
      <c r="A80" s="25"/>
      <c r="B80" s="12" t="str">
        <f>CONCATENATE("          ","6254"," - ","ROYALTY &amp; COMMISSIONS")</f>
        <v xml:space="preserve">          6254 - ROYALTY &amp; COMMISSIONS</v>
      </c>
      <c r="C80" s="12"/>
      <c r="D80" s="8">
        <v>123.36</v>
      </c>
      <c r="E80" s="3"/>
      <c r="F80" s="7">
        <f t="shared" si="12"/>
        <v>6.0067959182808915E-4</v>
      </c>
      <c r="G80" s="3"/>
      <c r="H80" s="8"/>
      <c r="I80" s="3"/>
      <c r="J80" s="7">
        <f t="shared" si="13"/>
        <v>0</v>
      </c>
      <c r="K80" s="3"/>
      <c r="L80" s="8">
        <f t="shared" si="14"/>
        <v>123.36</v>
      </c>
      <c r="M80" s="3"/>
      <c r="N80" s="7">
        <f t="shared" si="15"/>
        <v>0</v>
      </c>
      <c r="O80" s="12"/>
      <c r="P80" s="8">
        <v>10553.93</v>
      </c>
      <c r="Q80" s="3"/>
      <c r="R80" s="7">
        <f t="shared" si="16"/>
        <v>5.257395580439775E-3</v>
      </c>
      <c r="S80" s="3"/>
      <c r="T80" s="8"/>
      <c r="U80" s="3"/>
      <c r="V80" s="7">
        <f t="shared" si="17"/>
        <v>0</v>
      </c>
      <c r="W80" s="3"/>
      <c r="X80" s="8">
        <f t="shared" si="18"/>
        <v>10553.93</v>
      </c>
      <c r="Y80" s="3"/>
      <c r="Z80" s="7">
        <f t="shared" si="19"/>
        <v>0</v>
      </c>
    </row>
    <row r="81" spans="1:26" s="70" customFormat="1" ht="15" hidden="1" customHeight="1" outlineLevel="2" x14ac:dyDescent="0.25">
      <c r="A81" s="25"/>
      <c r="B81" s="12" t="str">
        <f>CONCATENATE("          ","6259"," - ","ROYALTY &amp; COMMISSIONS")</f>
        <v xml:space="preserve">          6259 - ROYALTY &amp; COMMISSIONS</v>
      </c>
      <c r="C81" s="12"/>
      <c r="D81" s="8"/>
      <c r="E81" s="3"/>
      <c r="F81" s="7">
        <f t="shared" si="12"/>
        <v>0</v>
      </c>
      <c r="G81" s="3"/>
      <c r="H81" s="8">
        <v>1239</v>
      </c>
      <c r="I81" s="3"/>
      <c r="J81" s="7">
        <f t="shared" si="13"/>
        <v>4.2918603603915671E-3</v>
      </c>
      <c r="K81" s="3"/>
      <c r="L81" s="8">
        <f t="shared" si="14"/>
        <v>-1239</v>
      </c>
      <c r="M81" s="3"/>
      <c r="N81" s="7">
        <f t="shared" si="15"/>
        <v>-1</v>
      </c>
      <c r="O81" s="12"/>
      <c r="P81" s="8"/>
      <c r="Q81" s="3"/>
      <c r="R81" s="7">
        <f t="shared" si="16"/>
        <v>0</v>
      </c>
      <c r="S81" s="3"/>
      <c r="T81" s="8">
        <v>13834</v>
      </c>
      <c r="U81" s="3"/>
      <c r="V81" s="7">
        <f t="shared" si="17"/>
        <v>5.410280236403513E-3</v>
      </c>
      <c r="W81" s="3"/>
      <c r="X81" s="8">
        <f t="shared" si="18"/>
        <v>-13834</v>
      </c>
      <c r="Y81" s="3"/>
      <c r="Z81" s="7">
        <f t="shared" si="19"/>
        <v>-1</v>
      </c>
    </row>
    <row r="82" spans="1:26" s="69" customFormat="1" ht="15" customHeight="1" outlineLevel="1" collapsed="1" x14ac:dyDescent="0.25">
      <c r="A82" s="26"/>
      <c r="B82" s="14" t="str">
        <f>CONCATENATE("     ","Services                                          ")</f>
        <v xml:space="preserve">     Services                                          </v>
      </c>
      <c r="C82" s="14"/>
      <c r="D82" s="2">
        <f>SUM(OSRRefD22_15x_0)</f>
        <v>5724.43</v>
      </c>
      <c r="E82" s="2"/>
      <c r="F82" s="6">
        <f t="shared" si="12"/>
        <v>2.7874094324322866E-2</v>
      </c>
      <c r="G82" s="2"/>
      <c r="H82" s="2">
        <f>SUM(OSRRefH22_15x_0)</f>
        <v>11297</v>
      </c>
      <c r="I82" s="2"/>
      <c r="J82" s="6">
        <f t="shared" si="13"/>
        <v>3.9132483043860807E-2</v>
      </c>
      <c r="K82" s="2"/>
      <c r="L82" s="2">
        <f t="shared" si="14"/>
        <v>-5572.57</v>
      </c>
      <c r="M82" s="2"/>
      <c r="N82" s="6">
        <f t="shared" si="15"/>
        <v>-0.4932787465698858</v>
      </c>
      <c r="O82" s="14"/>
      <c r="P82" s="2">
        <f>SUM(OSRRefP22_15x_0)</f>
        <v>86285.16</v>
      </c>
      <c r="Q82" s="2"/>
      <c r="R82" s="6">
        <f t="shared" si="16"/>
        <v>4.298258741923993E-2</v>
      </c>
      <c r="S82" s="2"/>
      <c r="T82" s="2">
        <f>SUM(OSRRefT22_15x_0)</f>
        <v>121084</v>
      </c>
      <c r="U82" s="2"/>
      <c r="V82" s="6">
        <f t="shared" si="17"/>
        <v>4.735422669832897E-2</v>
      </c>
      <c r="W82" s="2"/>
      <c r="X82" s="2">
        <f t="shared" si="18"/>
        <v>-34798.839999999997</v>
      </c>
      <c r="Y82" s="2"/>
      <c r="Z82" s="6">
        <f t="shared" si="19"/>
        <v>-0.28739420567539886</v>
      </c>
    </row>
    <row r="83" spans="1:26" s="70" customFormat="1" ht="15" hidden="1" customHeight="1" outlineLevel="2" x14ac:dyDescent="0.25">
      <c r="A83" s="25"/>
      <c r="B83" s="12" t="str">
        <f>CONCATENATE("          ","6282"," - ","JANITORIAL/EXTERMINATOR EXPENS")</f>
        <v xml:space="preserve">          6282 - JANITORIAL/EXTERMINATOR EXPENS</v>
      </c>
      <c r="C83" s="12"/>
      <c r="D83" s="8">
        <v>866.15</v>
      </c>
      <c r="E83" s="3"/>
      <c r="F83" s="7">
        <f t="shared" si="12"/>
        <v>4.2175634602942564E-3</v>
      </c>
      <c r="G83" s="3"/>
      <c r="H83" s="8">
        <v>1386</v>
      </c>
      <c r="I83" s="3"/>
      <c r="J83" s="7">
        <f t="shared" si="13"/>
        <v>4.8010641319634478E-3</v>
      </c>
      <c r="K83" s="3"/>
      <c r="L83" s="8">
        <f t="shared" si="14"/>
        <v>-519.85</v>
      </c>
      <c r="M83" s="3"/>
      <c r="N83" s="7">
        <f t="shared" si="15"/>
        <v>-0.37507215007215011</v>
      </c>
      <c r="O83" s="12"/>
      <c r="P83" s="8">
        <v>15608.11</v>
      </c>
      <c r="Q83" s="3"/>
      <c r="R83" s="7">
        <f t="shared" si="16"/>
        <v>7.7751139654155237E-3</v>
      </c>
      <c r="S83" s="3"/>
      <c r="T83" s="8">
        <v>14888</v>
      </c>
      <c r="U83" s="3"/>
      <c r="V83" s="7">
        <f t="shared" si="17"/>
        <v>5.8224846146866776E-3</v>
      </c>
      <c r="W83" s="3"/>
      <c r="X83" s="8">
        <f t="shared" si="18"/>
        <v>720.11000000000058</v>
      </c>
      <c r="Y83" s="3"/>
      <c r="Z83" s="7">
        <f t="shared" si="19"/>
        <v>4.8368484685652913E-2</v>
      </c>
    </row>
    <row r="84" spans="1:26" s="70" customFormat="1" ht="15" hidden="1" customHeight="1" outlineLevel="2" x14ac:dyDescent="0.25">
      <c r="A84" s="25"/>
      <c r="B84" s="12" t="str">
        <f>CONCATENATE("          ","6283"," - ","PLANT SERVICE")</f>
        <v xml:space="preserve">          6283 - PLANT SERVICE</v>
      </c>
      <c r="C84" s="12"/>
      <c r="D84" s="8"/>
      <c r="E84" s="3"/>
      <c r="F84" s="7">
        <f t="shared" si="12"/>
        <v>0</v>
      </c>
      <c r="G84" s="3"/>
      <c r="H84" s="8">
        <v>100</v>
      </c>
      <c r="I84" s="3"/>
      <c r="J84" s="7">
        <f t="shared" si="13"/>
        <v>3.4639712351828628E-4</v>
      </c>
      <c r="K84" s="3"/>
      <c r="L84" s="8">
        <f t="shared" si="14"/>
        <v>-100</v>
      </c>
      <c r="M84" s="3"/>
      <c r="N84" s="7">
        <f t="shared" si="15"/>
        <v>-1</v>
      </c>
      <c r="O84" s="12"/>
      <c r="P84" s="8"/>
      <c r="Q84" s="3"/>
      <c r="R84" s="7">
        <f t="shared" si="16"/>
        <v>0</v>
      </c>
      <c r="S84" s="3"/>
      <c r="T84" s="8">
        <v>1100</v>
      </c>
      <c r="U84" s="3"/>
      <c r="V84" s="7">
        <f t="shared" si="17"/>
        <v>4.3019432268641492E-4</v>
      </c>
      <c r="W84" s="3"/>
      <c r="X84" s="8">
        <f t="shared" si="18"/>
        <v>-1100</v>
      </c>
      <c r="Y84" s="3"/>
      <c r="Z84" s="7">
        <f t="shared" si="19"/>
        <v>-1</v>
      </c>
    </row>
    <row r="85" spans="1:26" s="70" customFormat="1" ht="15" hidden="1" customHeight="1" outlineLevel="2" x14ac:dyDescent="0.25">
      <c r="A85" s="25"/>
      <c r="B85" s="12" t="str">
        <f>CONCATENATE("          ","6284"," - ","TRASH REMOVAL EXPENSE")</f>
        <v xml:space="preserve">          6284 - TRASH REMOVAL EXPENSE</v>
      </c>
      <c r="C85" s="12"/>
      <c r="D85" s="8"/>
      <c r="E85" s="3"/>
      <c r="F85" s="7">
        <f t="shared" si="12"/>
        <v>0</v>
      </c>
      <c r="G85" s="3"/>
      <c r="H85" s="8">
        <v>1000</v>
      </c>
      <c r="I85" s="3"/>
      <c r="J85" s="7">
        <f t="shared" si="13"/>
        <v>3.4639712351828629E-3</v>
      </c>
      <c r="K85" s="3"/>
      <c r="L85" s="8">
        <f t="shared" si="14"/>
        <v>-1000</v>
      </c>
      <c r="M85" s="3"/>
      <c r="N85" s="7">
        <f t="shared" si="15"/>
        <v>-1</v>
      </c>
      <c r="O85" s="12"/>
      <c r="P85" s="8"/>
      <c r="Q85" s="3"/>
      <c r="R85" s="7">
        <f t="shared" si="16"/>
        <v>0</v>
      </c>
      <c r="S85" s="3"/>
      <c r="T85" s="8">
        <v>11000</v>
      </c>
      <c r="U85" s="3"/>
      <c r="V85" s="7">
        <f t="shared" si="17"/>
        <v>4.3019432268641489E-3</v>
      </c>
      <c r="W85" s="3"/>
      <c r="X85" s="8">
        <f t="shared" si="18"/>
        <v>-11000</v>
      </c>
      <c r="Y85" s="3"/>
      <c r="Z85" s="7">
        <f t="shared" si="19"/>
        <v>-1</v>
      </c>
    </row>
    <row r="86" spans="1:26" s="70" customFormat="1" ht="15" hidden="1" customHeight="1" outlineLevel="2" x14ac:dyDescent="0.25">
      <c r="A86" s="25"/>
      <c r="B86" s="12" t="str">
        <f>CONCATENATE("          ","6285"," - ","JANITORIAL SERVICES")</f>
        <v xml:space="preserve">          6285 - JANITORIAL SERVICES</v>
      </c>
      <c r="C86" s="12"/>
      <c r="D86" s="8">
        <v>3385.52</v>
      </c>
      <c r="E86" s="3"/>
      <c r="F86" s="7">
        <f t="shared" si="12"/>
        <v>1.6485187838244427E-2</v>
      </c>
      <c r="G86" s="3"/>
      <c r="H86" s="8">
        <v>8224</v>
      </c>
      <c r="I86" s="3"/>
      <c r="J86" s="7">
        <f t="shared" si="13"/>
        <v>2.8487699438143867E-2</v>
      </c>
      <c r="K86" s="3"/>
      <c r="L86" s="8">
        <f t="shared" si="14"/>
        <v>-4838.4799999999996</v>
      </c>
      <c r="M86" s="3"/>
      <c r="N86" s="7">
        <f t="shared" si="15"/>
        <v>-0.58833657587548638</v>
      </c>
      <c r="O86" s="12"/>
      <c r="P86" s="8">
        <v>63033.74</v>
      </c>
      <c r="Q86" s="3"/>
      <c r="R86" s="7">
        <f t="shared" si="16"/>
        <v>3.1399990912824874E-2</v>
      </c>
      <c r="S86" s="3"/>
      <c r="T86" s="8">
        <v>87031</v>
      </c>
      <c r="U86" s="3"/>
      <c r="V86" s="7">
        <f t="shared" si="17"/>
        <v>3.4036583725201255E-2</v>
      </c>
      <c r="W86" s="3"/>
      <c r="X86" s="8">
        <f t="shared" si="18"/>
        <v>-23997.260000000002</v>
      </c>
      <c r="Y86" s="3"/>
      <c r="Z86" s="7">
        <f t="shared" si="19"/>
        <v>-0.2757323252634119</v>
      </c>
    </row>
    <row r="87" spans="1:26" s="70" customFormat="1" ht="15" hidden="1" customHeight="1" outlineLevel="2" x14ac:dyDescent="0.25">
      <c r="A87" s="25"/>
      <c r="B87" s="12" t="str">
        <f>CONCATENATE("          ","6286"," - ","LAUNDRY EXPENSE")</f>
        <v xml:space="preserve">          6286 - LAUNDRY EXPENSE</v>
      </c>
      <c r="C87" s="12"/>
      <c r="D87" s="8">
        <v>1472.76</v>
      </c>
      <c r="E87" s="3"/>
      <c r="F87" s="7">
        <f t="shared" si="12"/>
        <v>7.1713430257841814E-3</v>
      </c>
      <c r="G87" s="3"/>
      <c r="H87" s="8">
        <v>587</v>
      </c>
      <c r="I87" s="3"/>
      <c r="J87" s="7">
        <f t="shared" si="13"/>
        <v>2.0333511150523406E-3</v>
      </c>
      <c r="K87" s="3"/>
      <c r="L87" s="8">
        <f t="shared" si="14"/>
        <v>885.76</v>
      </c>
      <c r="M87" s="3"/>
      <c r="N87" s="7">
        <f t="shared" si="15"/>
        <v>1.508960817717206</v>
      </c>
      <c r="O87" s="12"/>
      <c r="P87" s="8">
        <v>7643.31</v>
      </c>
      <c r="Q87" s="3"/>
      <c r="R87" s="7">
        <f t="shared" si="16"/>
        <v>3.8074825409995269E-3</v>
      </c>
      <c r="S87" s="3"/>
      <c r="T87" s="8">
        <v>7065</v>
      </c>
      <c r="U87" s="3"/>
      <c r="V87" s="7">
        <f t="shared" si="17"/>
        <v>2.7630208088904743E-3</v>
      </c>
      <c r="W87" s="3"/>
      <c r="X87" s="8">
        <f t="shared" si="18"/>
        <v>578.3100000000004</v>
      </c>
      <c r="Y87" s="3"/>
      <c r="Z87" s="7">
        <f t="shared" si="19"/>
        <v>8.1855626326963957E-2</v>
      </c>
    </row>
    <row r="88" spans="1:26" s="69" customFormat="1" ht="15" customHeight="1" outlineLevel="1" collapsed="1" x14ac:dyDescent="0.25">
      <c r="A88" s="26"/>
      <c r="B88" s="14" t="str">
        <f>CONCATENATE("     ","Subscriptions &amp; Dues                              ")</f>
        <v xml:space="preserve">     Subscriptions &amp; Dues                              </v>
      </c>
      <c r="C88" s="14"/>
      <c r="D88" s="2">
        <f>SUM(OSRRefD22_16x_0)</f>
        <v>560.5</v>
      </c>
      <c r="E88" s="2"/>
      <c r="F88" s="6">
        <f t="shared" si="12"/>
        <v>2.7292551168907587E-3</v>
      </c>
      <c r="G88" s="2"/>
      <c r="H88" s="2">
        <f>SUM(OSRRefH22_16x_0)</f>
        <v>610</v>
      </c>
      <c r="I88" s="2"/>
      <c r="J88" s="6">
        <f t="shared" si="13"/>
        <v>2.1130224534615465E-3</v>
      </c>
      <c r="K88" s="2"/>
      <c r="L88" s="2">
        <f t="shared" si="14"/>
        <v>-49.5</v>
      </c>
      <c r="M88" s="2"/>
      <c r="N88" s="6">
        <f t="shared" si="15"/>
        <v>-8.1147540983606561E-2</v>
      </c>
      <c r="O88" s="14"/>
      <c r="P88" s="2">
        <f>SUM(OSRRefP22_16x_0)</f>
        <v>6967.9</v>
      </c>
      <c r="Q88" s="2"/>
      <c r="R88" s="6">
        <f t="shared" si="16"/>
        <v>3.4710299068637283E-3</v>
      </c>
      <c r="S88" s="2"/>
      <c r="T88" s="2">
        <f>SUM(OSRRefT22_16x_0)</f>
        <v>6480</v>
      </c>
      <c r="U88" s="2"/>
      <c r="V88" s="6">
        <f t="shared" si="17"/>
        <v>2.5342356463708806E-3</v>
      </c>
      <c r="W88" s="2"/>
      <c r="X88" s="2">
        <f t="shared" si="18"/>
        <v>487.89999999999964</v>
      </c>
      <c r="Y88" s="2"/>
      <c r="Z88" s="6">
        <f t="shared" si="19"/>
        <v>7.5293209876543157E-2</v>
      </c>
    </row>
    <row r="89" spans="1:26" s="70" customFormat="1" ht="15" hidden="1" customHeight="1" outlineLevel="2" x14ac:dyDescent="0.25">
      <c r="A89" s="25"/>
      <c r="B89" s="12" t="str">
        <f>CONCATENATE("          ","6275"," - ","SUBSCRIPTIONS")</f>
        <v xml:space="preserve">          6275 - SUBSCRIPTIONS</v>
      </c>
      <c r="C89" s="12"/>
      <c r="D89" s="8">
        <v>560.5</v>
      </c>
      <c r="E89" s="3"/>
      <c r="F89" s="7">
        <f t="shared" si="12"/>
        <v>2.7292551168907587E-3</v>
      </c>
      <c r="G89" s="3"/>
      <c r="H89" s="8">
        <v>610</v>
      </c>
      <c r="I89" s="3"/>
      <c r="J89" s="7">
        <f t="shared" si="13"/>
        <v>2.1130224534615465E-3</v>
      </c>
      <c r="K89" s="3"/>
      <c r="L89" s="8">
        <f t="shared" si="14"/>
        <v>-49.5</v>
      </c>
      <c r="M89" s="3"/>
      <c r="N89" s="7">
        <f t="shared" si="15"/>
        <v>-8.1147540983606561E-2</v>
      </c>
      <c r="O89" s="12"/>
      <c r="P89" s="8">
        <v>6967.9</v>
      </c>
      <c r="Q89" s="3"/>
      <c r="R89" s="7">
        <f t="shared" si="16"/>
        <v>3.4710299068637283E-3</v>
      </c>
      <c r="S89" s="3"/>
      <c r="T89" s="8">
        <v>6480</v>
      </c>
      <c r="U89" s="3"/>
      <c r="V89" s="7">
        <f t="shared" si="17"/>
        <v>2.5342356463708806E-3</v>
      </c>
      <c r="W89" s="3"/>
      <c r="X89" s="8">
        <f t="shared" si="18"/>
        <v>487.89999999999964</v>
      </c>
      <c r="Y89" s="3"/>
      <c r="Z89" s="7">
        <f t="shared" si="19"/>
        <v>7.5293209876543157E-2</v>
      </c>
    </row>
    <row r="90" spans="1:26" s="69" customFormat="1" ht="15" customHeight="1" outlineLevel="1" collapsed="1" x14ac:dyDescent="0.25">
      <c r="A90" s="26"/>
      <c r="B90" s="14" t="str">
        <f>CONCATENATE("     ","Supplies                                          ")</f>
        <v xml:space="preserve">     Supplies                                          </v>
      </c>
      <c r="C90" s="14"/>
      <c r="D90" s="2">
        <f>SUM(OSRRefD22_17x_0)</f>
        <v>3387.25</v>
      </c>
      <c r="E90" s="2"/>
      <c r="F90" s="6">
        <f t="shared" si="12"/>
        <v>1.6493611765723858E-2</v>
      </c>
      <c r="G90" s="2"/>
      <c r="H90" s="2">
        <f>SUM(OSRRefH22_17x_0)</f>
        <v>2925</v>
      </c>
      <c r="I90" s="2"/>
      <c r="J90" s="6">
        <f t="shared" si="13"/>
        <v>1.0132115862909874E-2</v>
      </c>
      <c r="K90" s="2"/>
      <c r="L90" s="2">
        <f t="shared" si="14"/>
        <v>462.25</v>
      </c>
      <c r="M90" s="2"/>
      <c r="N90" s="6">
        <f t="shared" si="15"/>
        <v>0.15803418803418803</v>
      </c>
      <c r="O90" s="14"/>
      <c r="P90" s="2">
        <f>SUM(OSRRefP22_17x_0)</f>
        <v>42658.899999999994</v>
      </c>
      <c r="Q90" s="2"/>
      <c r="R90" s="6">
        <f t="shared" si="16"/>
        <v>2.1250350563858419E-2</v>
      </c>
      <c r="S90" s="2"/>
      <c r="T90" s="2">
        <f>SUM(OSRRefT22_17x_0)</f>
        <v>50223</v>
      </c>
      <c r="U90" s="2"/>
      <c r="V90" s="6">
        <f t="shared" si="17"/>
        <v>1.9641499516618015E-2</v>
      </c>
      <c r="W90" s="2"/>
      <c r="X90" s="2">
        <f t="shared" si="18"/>
        <v>-7564.1000000000058</v>
      </c>
      <c r="Y90" s="2"/>
      <c r="Z90" s="6">
        <f t="shared" si="19"/>
        <v>-0.15061027815940914</v>
      </c>
    </row>
    <row r="91" spans="1:26" s="70" customFormat="1" ht="15" hidden="1" customHeight="1" outlineLevel="2" x14ac:dyDescent="0.25">
      <c r="A91" s="25"/>
      <c r="B91" s="12" t="str">
        <f>CONCATENATE("          ","6234"," - ","EXPENDABLE SUPPLIES &amp; EQUIPMEN")</f>
        <v xml:space="preserve">          6234 - EXPENDABLE SUPPLIES &amp; EQUIPMEN</v>
      </c>
      <c r="C91" s="12"/>
      <c r="D91" s="8"/>
      <c r="E91" s="3"/>
      <c r="F91" s="7">
        <f t="shared" ref="F91:F110" si="20">IF(D$12=0,0,D91/D$12)</f>
        <v>0</v>
      </c>
      <c r="G91" s="3"/>
      <c r="H91" s="8">
        <v>50</v>
      </c>
      <c r="I91" s="3"/>
      <c r="J91" s="7">
        <f t="shared" ref="J91:J110" si="21">IF(H$12=0,0,H91/H$12)</f>
        <v>1.7319856175914314E-4</v>
      </c>
      <c r="K91" s="3"/>
      <c r="L91" s="8">
        <f t="shared" ref="L91:L110" si="22">+D91-H91</f>
        <v>-50</v>
      </c>
      <c r="M91" s="3"/>
      <c r="N91" s="7">
        <f t="shared" ref="N91:N110" si="23">IF(H91=0,0,L91/H91)</f>
        <v>-1</v>
      </c>
      <c r="O91" s="12"/>
      <c r="P91" s="8">
        <v>1536.73</v>
      </c>
      <c r="Q91" s="3"/>
      <c r="R91" s="7">
        <f t="shared" ref="R91:R110" si="24">IF(P$12=0,0,P91/P$12)</f>
        <v>7.6551554826772737E-4</v>
      </c>
      <c r="S91" s="3"/>
      <c r="T91" s="8">
        <v>800</v>
      </c>
      <c r="U91" s="3"/>
      <c r="V91" s="7">
        <f t="shared" ref="V91:V110" si="25">IF(T$12=0,0,T91/T$12)</f>
        <v>3.128685983173927E-4</v>
      </c>
      <c r="W91" s="3"/>
      <c r="X91" s="8">
        <f t="shared" ref="X91:X110" si="26">+P91-T91</f>
        <v>736.73</v>
      </c>
      <c r="Y91" s="3"/>
      <c r="Z91" s="7">
        <f t="shared" ref="Z91:Z110" si="27">IF(T91=0,0,X91/T91)</f>
        <v>0.92091250000000002</v>
      </c>
    </row>
    <row r="92" spans="1:26" s="70" customFormat="1" ht="15" hidden="1" customHeight="1" outlineLevel="2" x14ac:dyDescent="0.25">
      <c r="A92" s="25"/>
      <c r="B92" s="12" t="str">
        <f>CONCATENATE("          ","6235"," - ","COVID-19 EXPENSES")</f>
        <v xml:space="preserve">          6235 - COVID-19 EXPENSES</v>
      </c>
      <c r="C92" s="12"/>
      <c r="D92" s="8"/>
      <c r="E92" s="3"/>
      <c r="F92" s="7">
        <f t="shared" si="20"/>
        <v>0</v>
      </c>
      <c r="G92" s="3"/>
      <c r="H92" s="8">
        <v>250</v>
      </c>
      <c r="I92" s="3"/>
      <c r="J92" s="7">
        <f t="shared" si="21"/>
        <v>8.6599280879571573E-4</v>
      </c>
      <c r="K92" s="3"/>
      <c r="L92" s="8">
        <f t="shared" si="22"/>
        <v>-250</v>
      </c>
      <c r="M92" s="3"/>
      <c r="N92" s="7">
        <f t="shared" si="23"/>
        <v>-1</v>
      </c>
      <c r="O92" s="12"/>
      <c r="P92" s="8">
        <v>690.53</v>
      </c>
      <c r="Q92" s="3"/>
      <c r="R92" s="7">
        <f t="shared" si="24"/>
        <v>3.4398459816969393E-4</v>
      </c>
      <c r="S92" s="3"/>
      <c r="T92" s="8">
        <v>3000</v>
      </c>
      <c r="U92" s="3"/>
      <c r="V92" s="7">
        <f t="shared" si="25"/>
        <v>1.1732572436902225E-3</v>
      </c>
      <c r="W92" s="3"/>
      <c r="X92" s="8">
        <f t="shared" si="26"/>
        <v>-2309.4700000000003</v>
      </c>
      <c r="Y92" s="3"/>
      <c r="Z92" s="7">
        <f t="shared" si="27"/>
        <v>-0.76982333333333341</v>
      </c>
    </row>
    <row r="93" spans="1:26" s="70" customFormat="1" ht="15" hidden="1" customHeight="1" outlineLevel="2" x14ac:dyDescent="0.25">
      <c r="A93" s="25"/>
      <c r="B93" s="12" t="str">
        <f>CONCATENATE("          ","6237"," - ","JANITORIAL SUPPLIES")</f>
        <v xml:space="preserve">          6237 - JANITORIAL SUPPLIES</v>
      </c>
      <c r="C93" s="12"/>
      <c r="D93" s="8">
        <v>1152.23</v>
      </c>
      <c r="E93" s="3"/>
      <c r="F93" s="7">
        <f t="shared" si="20"/>
        <v>5.6105791674130939E-3</v>
      </c>
      <c r="G93" s="3"/>
      <c r="H93" s="8">
        <v>225</v>
      </c>
      <c r="I93" s="3"/>
      <c r="J93" s="7">
        <f t="shared" si="21"/>
        <v>7.7939352791614415E-4</v>
      </c>
      <c r="K93" s="3"/>
      <c r="L93" s="8">
        <f t="shared" si="22"/>
        <v>927.23</v>
      </c>
      <c r="M93" s="3"/>
      <c r="N93" s="7">
        <f t="shared" si="23"/>
        <v>4.1210222222222219</v>
      </c>
      <c r="O93" s="12"/>
      <c r="P93" s="8">
        <v>9918.7999999999993</v>
      </c>
      <c r="Q93" s="3"/>
      <c r="R93" s="7">
        <f t="shared" si="24"/>
        <v>4.9410082578969193E-3</v>
      </c>
      <c r="S93" s="3"/>
      <c r="T93" s="8">
        <v>4203</v>
      </c>
      <c r="U93" s="3"/>
      <c r="V93" s="7">
        <f t="shared" si="25"/>
        <v>1.6437333984100017E-3</v>
      </c>
      <c r="W93" s="3"/>
      <c r="X93" s="8">
        <f t="shared" si="26"/>
        <v>5715.7999999999993</v>
      </c>
      <c r="Y93" s="3"/>
      <c r="Z93" s="7">
        <f t="shared" si="27"/>
        <v>1.3599333809183916</v>
      </c>
    </row>
    <row r="94" spans="1:26" s="70" customFormat="1" ht="15" hidden="1" customHeight="1" outlineLevel="2" x14ac:dyDescent="0.25">
      <c r="A94" s="25"/>
      <c r="B94" s="12" t="str">
        <f>CONCATENATE("          ","6239"," - ","KITCHEN SUPPLIES")</f>
        <v xml:space="preserve">          6239 - KITCHEN SUPPLIES</v>
      </c>
      <c r="C94" s="12"/>
      <c r="D94" s="8">
        <v>498.34</v>
      </c>
      <c r="E94" s="3"/>
      <c r="F94" s="7">
        <f t="shared" si="20"/>
        <v>2.4265780463003403E-3</v>
      </c>
      <c r="G94" s="3"/>
      <c r="H94" s="8"/>
      <c r="I94" s="3"/>
      <c r="J94" s="7">
        <f t="shared" si="21"/>
        <v>0</v>
      </c>
      <c r="K94" s="3"/>
      <c r="L94" s="8">
        <f t="shared" si="22"/>
        <v>498.34</v>
      </c>
      <c r="M94" s="3"/>
      <c r="N94" s="7">
        <f t="shared" si="23"/>
        <v>0</v>
      </c>
      <c r="O94" s="12"/>
      <c r="P94" s="8">
        <v>9426.49</v>
      </c>
      <c r="Q94" s="3"/>
      <c r="R94" s="7">
        <f t="shared" si="24"/>
        <v>4.6957661141451322E-3</v>
      </c>
      <c r="S94" s="3"/>
      <c r="T94" s="8">
        <v>5349</v>
      </c>
      <c r="U94" s="3"/>
      <c r="V94" s="7">
        <f t="shared" si="25"/>
        <v>2.0919176654996667E-3</v>
      </c>
      <c r="W94" s="3"/>
      <c r="X94" s="8">
        <f t="shared" si="26"/>
        <v>4077.49</v>
      </c>
      <c r="Y94" s="3"/>
      <c r="Z94" s="7">
        <f t="shared" si="27"/>
        <v>0.76229014769115722</v>
      </c>
    </row>
    <row r="95" spans="1:26" s="70" customFormat="1" ht="15" hidden="1" customHeight="1" outlineLevel="2" x14ac:dyDescent="0.25">
      <c r="A95" s="25"/>
      <c r="B95" s="12" t="str">
        <f>CONCATENATE("          ","6241"," - ","OFFICE EXPENSE")</f>
        <v xml:space="preserve">          6241 - OFFICE EXPENSE</v>
      </c>
      <c r="C95" s="12"/>
      <c r="D95" s="8"/>
      <c r="E95" s="3"/>
      <c r="F95" s="7">
        <f t="shared" si="20"/>
        <v>0</v>
      </c>
      <c r="G95" s="3"/>
      <c r="H95" s="8">
        <v>50</v>
      </c>
      <c r="I95" s="3"/>
      <c r="J95" s="7">
        <f t="shared" si="21"/>
        <v>1.7319856175914314E-4</v>
      </c>
      <c r="K95" s="3"/>
      <c r="L95" s="8">
        <f t="shared" si="22"/>
        <v>-50</v>
      </c>
      <c r="M95" s="3"/>
      <c r="N95" s="7">
        <f t="shared" si="23"/>
        <v>-1</v>
      </c>
      <c r="O95" s="12"/>
      <c r="P95" s="8">
        <v>8089.96</v>
      </c>
      <c r="Q95" s="3"/>
      <c r="R95" s="7">
        <f t="shared" si="24"/>
        <v>4.029979348918797E-3</v>
      </c>
      <c r="S95" s="3"/>
      <c r="T95" s="8">
        <v>3227</v>
      </c>
      <c r="U95" s="3"/>
      <c r="V95" s="7">
        <f t="shared" si="25"/>
        <v>1.2620337084627827E-3</v>
      </c>
      <c r="W95" s="3"/>
      <c r="X95" s="8">
        <f t="shared" si="26"/>
        <v>4862.96</v>
      </c>
      <c r="Y95" s="3"/>
      <c r="Z95" s="7">
        <f t="shared" si="27"/>
        <v>1.5069600247908275</v>
      </c>
    </row>
    <row r="96" spans="1:26" s="70" customFormat="1" ht="15" hidden="1" customHeight="1" outlineLevel="2" x14ac:dyDescent="0.25">
      <c r="A96" s="25"/>
      <c r="B96" s="12" t="str">
        <f>CONCATENATE("          ","6243"," - ","PAPER SUPPLIES")</f>
        <v xml:space="preserve">          6243 - PAPER SUPPLIES</v>
      </c>
      <c r="C96" s="12"/>
      <c r="D96" s="8">
        <v>887.91</v>
      </c>
      <c r="E96" s="3"/>
      <c r="F96" s="7">
        <f t="shared" si="20"/>
        <v>4.3235199122898726E-3</v>
      </c>
      <c r="G96" s="3"/>
      <c r="H96" s="8">
        <v>800</v>
      </c>
      <c r="I96" s="3"/>
      <c r="J96" s="7">
        <f t="shared" si="21"/>
        <v>2.7711769881462902E-3</v>
      </c>
      <c r="K96" s="3"/>
      <c r="L96" s="8">
        <f t="shared" si="22"/>
        <v>87.909999999999968</v>
      </c>
      <c r="M96" s="3"/>
      <c r="N96" s="7">
        <f t="shared" si="23"/>
        <v>0.10988749999999996</v>
      </c>
      <c r="O96" s="12"/>
      <c r="P96" s="8">
        <v>4203.72</v>
      </c>
      <c r="Q96" s="3"/>
      <c r="R96" s="7">
        <f t="shared" si="24"/>
        <v>2.0940653338999112E-3</v>
      </c>
      <c r="S96" s="3"/>
      <c r="T96" s="8">
        <v>10033</v>
      </c>
      <c r="U96" s="3"/>
      <c r="V96" s="7">
        <f t="shared" si="25"/>
        <v>3.9237633086480006E-3</v>
      </c>
      <c r="W96" s="3"/>
      <c r="X96" s="8">
        <f t="shared" si="26"/>
        <v>-5829.28</v>
      </c>
      <c r="Y96" s="3"/>
      <c r="Z96" s="7">
        <f t="shared" si="27"/>
        <v>-0.58101066480613972</v>
      </c>
    </row>
    <row r="97" spans="1:26" s="70" customFormat="1" ht="15" hidden="1" customHeight="1" outlineLevel="2" x14ac:dyDescent="0.25">
      <c r="A97" s="25"/>
      <c r="B97" s="12" t="str">
        <f>CONCATENATE("          ","6244"," - ","SAFETY SUPPLY EXPENSE")</f>
        <v xml:space="preserve">          6244 - SAFETY SUPPLY EXPENSE</v>
      </c>
      <c r="C97" s="12"/>
      <c r="D97" s="8"/>
      <c r="E97" s="3"/>
      <c r="F97" s="7">
        <f t="shared" si="20"/>
        <v>0</v>
      </c>
      <c r="G97" s="3"/>
      <c r="H97" s="8"/>
      <c r="I97" s="3"/>
      <c r="J97" s="7">
        <f t="shared" si="21"/>
        <v>0</v>
      </c>
      <c r="K97" s="3"/>
      <c r="L97" s="8">
        <f t="shared" si="22"/>
        <v>0</v>
      </c>
      <c r="M97" s="3"/>
      <c r="N97" s="7">
        <f t="shared" si="23"/>
        <v>0</v>
      </c>
      <c r="O97" s="12"/>
      <c r="P97" s="8"/>
      <c r="Q97" s="3"/>
      <c r="R97" s="7">
        <f t="shared" si="24"/>
        <v>0</v>
      </c>
      <c r="S97" s="3"/>
      <c r="T97" s="8">
        <v>150</v>
      </c>
      <c r="U97" s="3"/>
      <c r="V97" s="7">
        <f t="shared" si="25"/>
        <v>5.8662862184511125E-5</v>
      </c>
      <c r="W97" s="3"/>
      <c r="X97" s="8">
        <f t="shared" si="26"/>
        <v>-150</v>
      </c>
      <c r="Y97" s="3"/>
      <c r="Z97" s="7">
        <f t="shared" si="27"/>
        <v>-1</v>
      </c>
    </row>
    <row r="98" spans="1:26" s="70" customFormat="1" ht="15" hidden="1" customHeight="1" outlineLevel="2" x14ac:dyDescent="0.25">
      <c r="A98" s="25"/>
      <c r="B98" s="12" t="str">
        <f>CONCATENATE("          ","6245"," - ","PRINTING")</f>
        <v xml:space="preserve">          6245 - PRINTING</v>
      </c>
      <c r="C98" s="12"/>
      <c r="D98" s="8"/>
      <c r="E98" s="3"/>
      <c r="F98" s="7">
        <f t="shared" si="20"/>
        <v>0</v>
      </c>
      <c r="G98" s="3"/>
      <c r="H98" s="8">
        <v>100</v>
      </c>
      <c r="I98" s="3"/>
      <c r="J98" s="7">
        <f t="shared" si="21"/>
        <v>3.4639712351828628E-4</v>
      </c>
      <c r="K98" s="3"/>
      <c r="L98" s="8">
        <f t="shared" si="22"/>
        <v>-100</v>
      </c>
      <c r="M98" s="3"/>
      <c r="N98" s="7">
        <f t="shared" si="23"/>
        <v>-1</v>
      </c>
      <c r="O98" s="12"/>
      <c r="P98" s="8">
        <v>1071</v>
      </c>
      <c r="Q98" s="3"/>
      <c r="R98" s="7">
        <f t="shared" si="24"/>
        <v>5.3351411906758892E-4</v>
      </c>
      <c r="S98" s="3"/>
      <c r="T98" s="8">
        <v>1900</v>
      </c>
      <c r="U98" s="3"/>
      <c r="V98" s="7">
        <f t="shared" si="25"/>
        <v>7.4306292100380757E-4</v>
      </c>
      <c r="W98" s="3"/>
      <c r="X98" s="8">
        <f t="shared" si="26"/>
        <v>-829</v>
      </c>
      <c r="Y98" s="3"/>
      <c r="Z98" s="7">
        <f t="shared" si="27"/>
        <v>-0.43631578947368421</v>
      </c>
    </row>
    <row r="99" spans="1:26" s="70" customFormat="1" ht="15" hidden="1" customHeight="1" outlineLevel="2" x14ac:dyDescent="0.25">
      <c r="A99" s="25"/>
      <c r="B99" s="12" t="str">
        <f>CONCATENATE("          ","6247"," - ","STORE SUPPLIES")</f>
        <v xml:space="preserve">          6247 - STORE SUPPLIES</v>
      </c>
      <c r="C99" s="12"/>
      <c r="D99" s="8">
        <v>848.77</v>
      </c>
      <c r="E99" s="3"/>
      <c r="F99" s="7">
        <f t="shared" si="20"/>
        <v>4.1329346397205521E-3</v>
      </c>
      <c r="G99" s="3"/>
      <c r="H99" s="8">
        <v>1450</v>
      </c>
      <c r="I99" s="3"/>
      <c r="J99" s="7">
        <f t="shared" si="21"/>
        <v>5.0227582910151516E-3</v>
      </c>
      <c r="K99" s="3"/>
      <c r="L99" s="8">
        <f t="shared" si="22"/>
        <v>-601.23</v>
      </c>
      <c r="M99" s="3"/>
      <c r="N99" s="7">
        <f t="shared" si="23"/>
        <v>-0.41464137931034484</v>
      </c>
      <c r="O99" s="12"/>
      <c r="P99" s="8">
        <v>4733.22</v>
      </c>
      <c r="Q99" s="3"/>
      <c r="R99" s="7">
        <f t="shared" si="24"/>
        <v>2.3578335188170806E-3</v>
      </c>
      <c r="S99" s="3"/>
      <c r="T99" s="8">
        <v>17711</v>
      </c>
      <c r="U99" s="3"/>
      <c r="V99" s="7">
        <f t="shared" si="25"/>
        <v>6.9265196809991771E-3</v>
      </c>
      <c r="W99" s="3"/>
      <c r="X99" s="8">
        <f t="shared" si="26"/>
        <v>-12977.779999999999</v>
      </c>
      <c r="Y99" s="3"/>
      <c r="Z99" s="7">
        <f t="shared" si="27"/>
        <v>-0.73275252667833546</v>
      </c>
    </row>
    <row r="100" spans="1:26" s="70" customFormat="1" ht="15" hidden="1" customHeight="1" outlineLevel="2" x14ac:dyDescent="0.25">
      <c r="A100" s="25"/>
      <c r="B100" s="12" t="str">
        <f>CONCATENATE("          ","6248"," - ","UNIFORMS")</f>
        <v xml:space="preserve">          6248 - UNIFORMS</v>
      </c>
      <c r="C100" s="12"/>
      <c r="D100" s="8"/>
      <c r="E100" s="3"/>
      <c r="F100" s="7">
        <f t="shared" si="20"/>
        <v>0</v>
      </c>
      <c r="G100" s="3"/>
      <c r="H100" s="8"/>
      <c r="I100" s="3"/>
      <c r="J100" s="7">
        <f t="shared" si="21"/>
        <v>0</v>
      </c>
      <c r="K100" s="3"/>
      <c r="L100" s="8">
        <f t="shared" si="22"/>
        <v>0</v>
      </c>
      <c r="M100" s="3"/>
      <c r="N100" s="7">
        <f t="shared" si="23"/>
        <v>0</v>
      </c>
      <c r="O100" s="12"/>
      <c r="P100" s="8">
        <v>2988.45</v>
      </c>
      <c r="Q100" s="3"/>
      <c r="R100" s="7">
        <f t="shared" si="24"/>
        <v>1.4886837246755706E-3</v>
      </c>
      <c r="S100" s="3"/>
      <c r="T100" s="8">
        <v>3850</v>
      </c>
      <c r="U100" s="3"/>
      <c r="V100" s="7">
        <f t="shared" si="25"/>
        <v>1.5056801294024522E-3</v>
      </c>
      <c r="W100" s="3"/>
      <c r="X100" s="8">
        <f t="shared" si="26"/>
        <v>-861.55000000000018</v>
      </c>
      <c r="Y100" s="3"/>
      <c r="Z100" s="7">
        <f t="shared" si="27"/>
        <v>-0.22377922077922083</v>
      </c>
    </row>
    <row r="101" spans="1:26" s="69" customFormat="1" ht="15" customHeight="1" outlineLevel="1" collapsed="1" x14ac:dyDescent="0.25">
      <c r="A101" s="26"/>
      <c r="B101" s="14" t="str">
        <f>CONCATENATE("     ","Telephone/Data Lines                              ")</f>
        <v xml:space="preserve">     Telephone/Data Lines                              </v>
      </c>
      <c r="C101" s="14"/>
      <c r="D101" s="2">
        <f>SUM(OSRRefD22_18x_0)</f>
        <v>915.35</v>
      </c>
      <c r="E101" s="2"/>
      <c r="F101" s="6">
        <f t="shared" si="20"/>
        <v>4.4571341146225803E-3</v>
      </c>
      <c r="G101" s="2"/>
      <c r="H101" s="2">
        <f>SUM(OSRRefH22_18x_0)</f>
        <v>688</v>
      </c>
      <c r="I101" s="2"/>
      <c r="J101" s="6">
        <f t="shared" si="21"/>
        <v>2.3832122098058099E-3</v>
      </c>
      <c r="K101" s="2"/>
      <c r="L101" s="2">
        <f t="shared" si="22"/>
        <v>227.35000000000002</v>
      </c>
      <c r="M101" s="2"/>
      <c r="N101" s="6">
        <f t="shared" si="23"/>
        <v>0.33045058139534889</v>
      </c>
      <c r="O101" s="14"/>
      <c r="P101" s="2">
        <f>SUM(OSRRefP22_18x_0)</f>
        <v>9488.39</v>
      </c>
      <c r="Q101" s="2"/>
      <c r="R101" s="6">
        <f t="shared" si="24"/>
        <v>4.7266013372733147E-3</v>
      </c>
      <c r="S101" s="2"/>
      <c r="T101" s="2">
        <f>SUM(OSRRefT22_18x_0)</f>
        <v>6518</v>
      </c>
      <c r="U101" s="2"/>
      <c r="V101" s="6">
        <f t="shared" si="25"/>
        <v>2.5490969047909568E-3</v>
      </c>
      <c r="W101" s="2"/>
      <c r="X101" s="2">
        <f t="shared" si="26"/>
        <v>2970.3899999999994</v>
      </c>
      <c r="Y101" s="2"/>
      <c r="Z101" s="6">
        <f t="shared" si="27"/>
        <v>0.45572108008591583</v>
      </c>
    </row>
    <row r="102" spans="1:26" s="70" customFormat="1" ht="15" hidden="1" customHeight="1" outlineLevel="2" x14ac:dyDescent="0.25">
      <c r="A102" s="25"/>
      <c r="B102" s="12" t="str">
        <f>CONCATENATE("          ","6303"," - ","DATA PHONE LINES")</f>
        <v xml:space="preserve">          6303 - DATA PHONE LINES</v>
      </c>
      <c r="C102" s="12"/>
      <c r="D102" s="8"/>
      <c r="E102" s="3"/>
      <c r="F102" s="7">
        <f t="shared" si="20"/>
        <v>0</v>
      </c>
      <c r="G102" s="3"/>
      <c r="H102" s="8">
        <v>185</v>
      </c>
      <c r="I102" s="3"/>
      <c r="J102" s="7">
        <f t="shared" si="21"/>
        <v>6.408346785088297E-4</v>
      </c>
      <c r="K102" s="3"/>
      <c r="L102" s="8">
        <f t="shared" si="22"/>
        <v>-185</v>
      </c>
      <c r="M102" s="3"/>
      <c r="N102" s="7">
        <f t="shared" si="23"/>
        <v>-1</v>
      </c>
      <c r="O102" s="12"/>
      <c r="P102" s="8"/>
      <c r="Q102" s="3"/>
      <c r="R102" s="7">
        <f t="shared" si="24"/>
        <v>0</v>
      </c>
      <c r="S102" s="3"/>
      <c r="T102" s="8">
        <v>2035</v>
      </c>
      <c r="U102" s="3"/>
      <c r="V102" s="7">
        <f t="shared" si="25"/>
        <v>7.958594969698676E-4</v>
      </c>
      <c r="W102" s="3"/>
      <c r="X102" s="8">
        <f t="shared" si="26"/>
        <v>-2035</v>
      </c>
      <c r="Y102" s="3"/>
      <c r="Z102" s="7">
        <f t="shared" si="27"/>
        <v>-1</v>
      </c>
    </row>
    <row r="103" spans="1:26" s="70" customFormat="1" ht="15" hidden="1" customHeight="1" outlineLevel="2" x14ac:dyDescent="0.25">
      <c r="A103" s="25"/>
      <c r="B103" s="12" t="str">
        <f>CONCATENATE("          ","6309"," - ","TELEPHONE")</f>
        <v xml:space="preserve">          6309 - TELEPHONE</v>
      </c>
      <c r="C103" s="12"/>
      <c r="D103" s="8">
        <v>915.35</v>
      </c>
      <c r="E103" s="3"/>
      <c r="F103" s="7">
        <f t="shared" si="20"/>
        <v>4.4571341146225803E-3</v>
      </c>
      <c r="G103" s="3"/>
      <c r="H103" s="8">
        <v>503</v>
      </c>
      <c r="I103" s="3"/>
      <c r="J103" s="7">
        <f t="shared" si="21"/>
        <v>1.7423775312969802E-3</v>
      </c>
      <c r="K103" s="3"/>
      <c r="L103" s="8">
        <f t="shared" si="22"/>
        <v>412.35</v>
      </c>
      <c r="M103" s="3"/>
      <c r="N103" s="7">
        <f t="shared" si="23"/>
        <v>0.81978131212723659</v>
      </c>
      <c r="O103" s="12"/>
      <c r="P103" s="8">
        <v>9488.39</v>
      </c>
      <c r="Q103" s="3"/>
      <c r="R103" s="7">
        <f t="shared" si="24"/>
        <v>4.7266013372733147E-3</v>
      </c>
      <c r="S103" s="3"/>
      <c r="T103" s="8">
        <v>4483</v>
      </c>
      <c r="U103" s="3"/>
      <c r="V103" s="7">
        <f t="shared" si="25"/>
        <v>1.7532374078210891E-3</v>
      </c>
      <c r="W103" s="3"/>
      <c r="X103" s="8">
        <f t="shared" si="26"/>
        <v>5005.3899999999994</v>
      </c>
      <c r="Y103" s="3"/>
      <c r="Z103" s="7">
        <f t="shared" si="27"/>
        <v>1.1165268793218825</v>
      </c>
    </row>
    <row r="104" spans="1:26" s="69" customFormat="1" ht="15" customHeight="1" outlineLevel="1" collapsed="1" x14ac:dyDescent="0.25">
      <c r="A104" s="26"/>
      <c r="B104" s="14" t="str">
        <f>CONCATENATE("     ","Training                                          ")</f>
        <v xml:space="preserve">     Training                                          </v>
      </c>
      <c r="C104" s="14"/>
      <c r="D104" s="2">
        <f>SUM(OSRRefD22_19x_0)</f>
        <v>0</v>
      </c>
      <c r="E104" s="2"/>
      <c r="F104" s="6">
        <f t="shared" si="20"/>
        <v>0</v>
      </c>
      <c r="G104" s="2"/>
      <c r="H104" s="2">
        <f>SUM(OSRRefH22_19x_0)</f>
        <v>0</v>
      </c>
      <c r="I104" s="2"/>
      <c r="J104" s="6">
        <f t="shared" si="21"/>
        <v>0</v>
      </c>
      <c r="K104" s="2"/>
      <c r="L104" s="2">
        <f t="shared" si="22"/>
        <v>0</v>
      </c>
      <c r="M104" s="2"/>
      <c r="N104" s="6">
        <f t="shared" si="23"/>
        <v>0</v>
      </c>
      <c r="O104" s="14"/>
      <c r="P104" s="2">
        <f>SUM(OSRRefP22_19x_0)</f>
        <v>815.95</v>
      </c>
      <c r="Q104" s="2"/>
      <c r="R104" s="6">
        <f t="shared" si="24"/>
        <v>4.0646204057254826E-4</v>
      </c>
      <c r="S104" s="2"/>
      <c r="T104" s="2">
        <f>SUM(OSRRefT22_19x_0)</f>
        <v>5310</v>
      </c>
      <c r="U104" s="2"/>
      <c r="V104" s="6">
        <f t="shared" si="25"/>
        <v>2.076665321331694E-3</v>
      </c>
      <c r="W104" s="2"/>
      <c r="X104" s="2">
        <f t="shared" si="26"/>
        <v>-4494.05</v>
      </c>
      <c r="Y104" s="2"/>
      <c r="Z104" s="6">
        <f t="shared" si="27"/>
        <v>-0.84633709981167615</v>
      </c>
    </row>
    <row r="105" spans="1:26" s="70" customFormat="1" ht="15" hidden="1" customHeight="1" outlineLevel="2" x14ac:dyDescent="0.25">
      <c r="A105" s="25"/>
      <c r="B105" s="12" t="str">
        <f>CONCATENATE("          ","6376"," - ","TRAINING")</f>
        <v xml:space="preserve">          6376 - TRAINING</v>
      </c>
      <c r="C105" s="12"/>
      <c r="D105" s="8"/>
      <c r="E105" s="3"/>
      <c r="F105" s="7">
        <f t="shared" si="20"/>
        <v>0</v>
      </c>
      <c r="G105" s="3"/>
      <c r="H105" s="8"/>
      <c r="I105" s="3"/>
      <c r="J105" s="7">
        <f t="shared" si="21"/>
        <v>0</v>
      </c>
      <c r="K105" s="3"/>
      <c r="L105" s="8">
        <f t="shared" si="22"/>
        <v>0</v>
      </c>
      <c r="M105" s="3"/>
      <c r="N105" s="7">
        <f t="shared" si="23"/>
        <v>0</v>
      </c>
      <c r="O105" s="12"/>
      <c r="P105" s="8">
        <v>815.95</v>
      </c>
      <c r="Q105" s="3"/>
      <c r="R105" s="7">
        <f t="shared" si="24"/>
        <v>4.0646204057254826E-4</v>
      </c>
      <c r="S105" s="3"/>
      <c r="T105" s="8">
        <v>5310</v>
      </c>
      <c r="U105" s="3"/>
      <c r="V105" s="7">
        <f t="shared" si="25"/>
        <v>2.076665321331694E-3</v>
      </c>
      <c r="W105" s="3"/>
      <c r="X105" s="8">
        <f t="shared" si="26"/>
        <v>-4494.05</v>
      </c>
      <c r="Y105" s="3"/>
      <c r="Z105" s="7">
        <f t="shared" si="27"/>
        <v>-0.84633709981167615</v>
      </c>
    </row>
    <row r="106" spans="1:26" s="69" customFormat="1" ht="15" customHeight="1" outlineLevel="1" collapsed="1" x14ac:dyDescent="0.25">
      <c r="A106" s="26"/>
      <c r="B106" s="14" t="str">
        <f>CONCATENATE("     ","Travel                                            ")</f>
        <v xml:space="preserve">     Travel                                            </v>
      </c>
      <c r="C106" s="14"/>
      <c r="D106" s="2">
        <f>SUM(OSRRefD22_20x_0)</f>
        <v>0</v>
      </c>
      <c r="E106" s="2"/>
      <c r="F106" s="6">
        <f t="shared" si="20"/>
        <v>0</v>
      </c>
      <c r="G106" s="2"/>
      <c r="H106" s="2">
        <f>SUM(OSRRefH22_20x_0)</f>
        <v>0</v>
      </c>
      <c r="I106" s="2"/>
      <c r="J106" s="6">
        <f t="shared" si="21"/>
        <v>0</v>
      </c>
      <c r="K106" s="2"/>
      <c r="L106" s="2">
        <f t="shared" si="22"/>
        <v>0</v>
      </c>
      <c r="M106" s="2"/>
      <c r="N106" s="6">
        <f t="shared" si="23"/>
        <v>0</v>
      </c>
      <c r="O106" s="14"/>
      <c r="P106" s="2">
        <f>SUM(OSRRefP22_20x_0)</f>
        <v>141.24</v>
      </c>
      <c r="Q106" s="2"/>
      <c r="R106" s="6">
        <f t="shared" si="24"/>
        <v>7.0358108475355996E-5</v>
      </c>
      <c r="S106" s="2"/>
      <c r="T106" s="2">
        <f>SUM(OSRRefT22_20x_0)</f>
        <v>1200</v>
      </c>
      <c r="U106" s="2"/>
      <c r="V106" s="6">
        <f t="shared" si="25"/>
        <v>4.69302897476089E-4</v>
      </c>
      <c r="W106" s="2"/>
      <c r="X106" s="2">
        <f t="shared" si="26"/>
        <v>-1058.76</v>
      </c>
      <c r="Y106" s="2"/>
      <c r="Z106" s="6">
        <f t="shared" si="27"/>
        <v>-0.88229999999999997</v>
      </c>
    </row>
    <row r="107" spans="1:26" s="70" customFormat="1" ht="15" hidden="1" customHeight="1" outlineLevel="2" x14ac:dyDescent="0.25">
      <c r="A107" s="25"/>
      <c r="B107" s="12" t="str">
        <f>CONCATENATE("          ","6292"," - ","TRAVEL/CONFERENCE")</f>
        <v xml:space="preserve">          6292 - TRAVEL/CONFERENCE</v>
      </c>
      <c r="C107" s="12"/>
      <c r="D107" s="8"/>
      <c r="E107" s="3"/>
      <c r="F107" s="7">
        <f t="shared" si="20"/>
        <v>0</v>
      </c>
      <c r="G107" s="3"/>
      <c r="H107" s="8"/>
      <c r="I107" s="3"/>
      <c r="J107" s="7">
        <f t="shared" si="21"/>
        <v>0</v>
      </c>
      <c r="K107" s="3"/>
      <c r="L107" s="8">
        <f t="shared" si="22"/>
        <v>0</v>
      </c>
      <c r="M107" s="3"/>
      <c r="N107" s="7">
        <f t="shared" si="23"/>
        <v>0</v>
      </c>
      <c r="O107" s="12"/>
      <c r="P107" s="8">
        <v>18.59</v>
      </c>
      <c r="Q107" s="3"/>
      <c r="R107" s="7">
        <f t="shared" si="24"/>
        <v>9.2605298538435833E-6</v>
      </c>
      <c r="S107" s="3"/>
      <c r="T107" s="8">
        <v>1200</v>
      </c>
      <c r="U107" s="3"/>
      <c r="V107" s="7">
        <f t="shared" si="25"/>
        <v>4.69302897476089E-4</v>
      </c>
      <c r="W107" s="3"/>
      <c r="X107" s="8">
        <f t="shared" si="26"/>
        <v>-1181.4100000000001</v>
      </c>
      <c r="Y107" s="3"/>
      <c r="Z107" s="7">
        <f t="shared" si="27"/>
        <v>-0.98450833333333343</v>
      </c>
    </row>
    <row r="108" spans="1:26" s="70" customFormat="1" ht="15" hidden="1" customHeight="1" outlineLevel="2" x14ac:dyDescent="0.25">
      <c r="A108" s="25"/>
      <c r="B108" s="12" t="str">
        <f>CONCATENATE("          ","6298"," - ","VEHICLE MILEAGE")</f>
        <v xml:space="preserve">          6298 - VEHICLE MILEAGE</v>
      </c>
      <c r="C108" s="12"/>
      <c r="D108" s="8"/>
      <c r="E108" s="3"/>
      <c r="F108" s="7">
        <f t="shared" si="20"/>
        <v>0</v>
      </c>
      <c r="G108" s="3"/>
      <c r="H108" s="8"/>
      <c r="I108" s="3"/>
      <c r="J108" s="7">
        <f t="shared" si="21"/>
        <v>0</v>
      </c>
      <c r="K108" s="3"/>
      <c r="L108" s="8">
        <f t="shared" si="22"/>
        <v>0</v>
      </c>
      <c r="M108" s="3"/>
      <c r="N108" s="7">
        <f t="shared" si="23"/>
        <v>0</v>
      </c>
      <c r="O108" s="12"/>
      <c r="P108" s="8">
        <v>122.65</v>
      </c>
      <c r="Q108" s="3"/>
      <c r="R108" s="7">
        <f t="shared" si="24"/>
        <v>6.1097578621512399E-5</v>
      </c>
      <c r="S108" s="3"/>
      <c r="T108" s="8"/>
      <c r="U108" s="3"/>
      <c r="V108" s="7">
        <f t="shared" si="25"/>
        <v>0</v>
      </c>
      <c r="W108" s="3"/>
      <c r="X108" s="8">
        <f t="shared" si="26"/>
        <v>122.65</v>
      </c>
      <c r="Y108" s="3"/>
      <c r="Z108" s="7">
        <f t="shared" si="27"/>
        <v>0</v>
      </c>
    </row>
    <row r="109" spans="1:26" s="69" customFormat="1" ht="15" customHeight="1" outlineLevel="1" collapsed="1" x14ac:dyDescent="0.25">
      <c r="A109" s="26"/>
      <c r="B109" s="14" t="str">
        <f>CONCATENATE("     ","Utilities                                         ")</f>
        <v xml:space="preserve">     Utilities                                         </v>
      </c>
      <c r="C109" s="14"/>
      <c r="D109" s="2">
        <f>SUM(OSRRefD22_21x_0)</f>
        <v>29404.66</v>
      </c>
      <c r="E109" s="2"/>
      <c r="F109" s="6">
        <f t="shared" si="20"/>
        <v>0.14318076496955043</v>
      </c>
      <c r="G109" s="2"/>
      <c r="H109" s="2">
        <f>SUM(OSRRefH22_21x_0)</f>
        <v>8667</v>
      </c>
      <c r="I109" s="2"/>
      <c r="J109" s="6">
        <f t="shared" si="21"/>
        <v>3.0022238695329873E-2</v>
      </c>
      <c r="K109" s="2"/>
      <c r="L109" s="2">
        <f t="shared" si="22"/>
        <v>20737.66</v>
      </c>
      <c r="M109" s="2"/>
      <c r="N109" s="6">
        <f t="shared" si="23"/>
        <v>2.392714895580939</v>
      </c>
      <c r="O109" s="14"/>
      <c r="P109" s="2">
        <f>SUM(OSRRefP22_21x_0)</f>
        <v>109504.66</v>
      </c>
      <c r="Q109" s="2"/>
      <c r="R109" s="6">
        <f t="shared" si="24"/>
        <v>5.4549283112694531E-2</v>
      </c>
      <c r="S109" s="2"/>
      <c r="T109" s="2">
        <f>SUM(OSRRefT22_21x_0)</f>
        <v>95337</v>
      </c>
      <c r="U109" s="2"/>
      <c r="V109" s="6">
        <f t="shared" si="25"/>
        <v>3.728494194723158E-2</v>
      </c>
      <c r="W109" s="2"/>
      <c r="X109" s="2">
        <f t="shared" si="26"/>
        <v>14167.660000000003</v>
      </c>
      <c r="Y109" s="2"/>
      <c r="Z109" s="6">
        <f t="shared" si="27"/>
        <v>0.14860610256248888</v>
      </c>
    </row>
    <row r="110" spans="1:26" s="70" customFormat="1" ht="15" hidden="1" customHeight="1" outlineLevel="2" x14ac:dyDescent="0.25">
      <c r="A110" s="25"/>
      <c r="B110" s="12" t="str">
        <f>CONCATENATE("          ","6274"," - ","UTILITIES")</f>
        <v xml:space="preserve">          6274 - UTILITIES</v>
      </c>
      <c r="C110" s="12"/>
      <c r="D110" s="8">
        <v>29404.66</v>
      </c>
      <c r="E110" s="3"/>
      <c r="F110" s="7">
        <f t="shared" si="20"/>
        <v>0.14318076496955043</v>
      </c>
      <c r="G110" s="3"/>
      <c r="H110" s="8">
        <v>8667</v>
      </c>
      <c r="I110" s="3"/>
      <c r="J110" s="7">
        <f t="shared" si="21"/>
        <v>3.0022238695329873E-2</v>
      </c>
      <c r="K110" s="3"/>
      <c r="L110" s="8">
        <f t="shared" si="22"/>
        <v>20737.66</v>
      </c>
      <c r="M110" s="3"/>
      <c r="N110" s="7">
        <f t="shared" si="23"/>
        <v>2.392714895580939</v>
      </c>
      <c r="O110" s="12"/>
      <c r="P110" s="8">
        <v>109504.66</v>
      </c>
      <c r="Q110" s="3"/>
      <c r="R110" s="7">
        <f t="shared" si="24"/>
        <v>5.4549283112694531E-2</v>
      </c>
      <c r="S110" s="3"/>
      <c r="T110" s="8">
        <v>95337</v>
      </c>
      <c r="U110" s="3"/>
      <c r="V110" s="7">
        <f t="shared" si="25"/>
        <v>3.728494194723158E-2</v>
      </c>
      <c r="W110" s="3"/>
      <c r="X110" s="8">
        <f t="shared" si="26"/>
        <v>14167.660000000003</v>
      </c>
      <c r="Y110" s="3"/>
      <c r="Z110" s="7">
        <f t="shared" si="27"/>
        <v>0.14860610256248888</v>
      </c>
    </row>
    <row r="111" spans="1:26" s="65" customFormat="1" ht="15" customHeight="1" x14ac:dyDescent="0.25">
      <c r="A111" s="35"/>
      <c r="B111" s="35"/>
      <c r="C111" s="35"/>
      <c r="D111" s="2"/>
      <c r="E111" s="2"/>
      <c r="F111" s="6"/>
      <c r="G111" s="2"/>
      <c r="H111" s="2"/>
      <c r="I111" s="2"/>
      <c r="J111" s="6"/>
      <c r="K111" s="2"/>
      <c r="L111" s="2"/>
      <c r="M111" s="2"/>
      <c r="N111" s="6"/>
      <c r="O111" s="35"/>
      <c r="P111" s="2"/>
      <c r="Q111" s="2"/>
      <c r="R111" s="6"/>
      <c r="S111" s="2"/>
      <c r="T111" s="2"/>
      <c r="U111" s="2"/>
      <c r="V111" s="6"/>
      <c r="W111" s="2"/>
      <c r="X111" s="2"/>
      <c r="Y111" s="2"/>
      <c r="Z111" s="6"/>
    </row>
    <row r="112" spans="1:26" s="63" customFormat="1" ht="15" customHeight="1" collapsed="1" x14ac:dyDescent="0.25">
      <c r="A112" s="11"/>
      <c r="B112" s="27" t="s">
        <v>291</v>
      </c>
      <c r="C112" s="11"/>
      <c r="D112" s="5">
        <f>SUM(OSRRefD25x_0)</f>
        <v>32749.34</v>
      </c>
      <c r="E112" s="5"/>
      <c r="F112" s="13">
        <f>IF(D$12=0,0,D112/D$12)</f>
        <v>0.15946708968741338</v>
      </c>
      <c r="G112" s="5"/>
      <c r="H112" s="5">
        <f>SUM(OSRRefH25x_0)</f>
        <v>29120.489999999998</v>
      </c>
      <c r="I112" s="5"/>
      <c r="J112" s="13">
        <f>IF(H$12=0,0,H112/H$12)</f>
        <v>0.10087253971443021</v>
      </c>
      <c r="K112" s="5"/>
      <c r="L112" s="5">
        <f>+D112-H112</f>
        <v>3628.8500000000022</v>
      </c>
      <c r="M112" s="5"/>
      <c r="N112" s="13">
        <f>IF(H112=0,0,L112/H112)</f>
        <v>0.12461500476125238</v>
      </c>
      <c r="O112" s="11"/>
      <c r="P112" s="5">
        <f>SUM(OSRRefP25x_0)</f>
        <v>207885.38</v>
      </c>
      <c r="Q112" s="5"/>
      <c r="R112" s="13">
        <f>IF(P$12=0,0,P112/P$12)</f>
        <v>0.10355722257491221</v>
      </c>
      <c r="S112" s="5"/>
      <c r="T112" s="5">
        <f>SUM(OSRRefT25x_0)</f>
        <v>163853.02000000002</v>
      </c>
      <c r="U112" s="5"/>
      <c r="V112" s="13">
        <f>IF(T$12=0,0,T112/T$12)</f>
        <v>6.408058087183964E-2</v>
      </c>
      <c r="W112" s="5"/>
      <c r="X112" s="5">
        <f>+P112-T112</f>
        <v>44032.359999999986</v>
      </c>
      <c r="Y112" s="5"/>
      <c r="Z112" s="13">
        <f>IF(T112=0,0,X112/T112)</f>
        <v>0.26873084182397117</v>
      </c>
    </row>
    <row r="113" spans="1:26" s="70" customFormat="1" ht="15" hidden="1" customHeight="1" outlineLevel="1" x14ac:dyDescent="0.25">
      <c r="A113" s="42"/>
      <c r="B113" s="12" t="str">
        <f>CONCATENATE("          ","9150"," - ","MISC. INCOME")</f>
        <v xml:space="preserve">          9150 - MISC. INCOME</v>
      </c>
      <c r="C113" s="12"/>
      <c r="D113" s="3">
        <f>--32749.34</f>
        <v>32749.34</v>
      </c>
      <c r="E113" s="3"/>
      <c r="F113" s="20">
        <f>IF(D$12=0,0,D113/D$12)</f>
        <v>0.15946708968741338</v>
      </c>
      <c r="G113" s="3"/>
      <c r="H113" s="3"/>
      <c r="I113" s="3"/>
      <c r="J113" s="20">
        <f>IF(H$12=0,0,H113/H$12)</f>
        <v>0</v>
      </c>
      <c r="K113" s="3"/>
      <c r="L113" s="3">
        <f>+D113-H113</f>
        <v>32749.34</v>
      </c>
      <c r="M113" s="3"/>
      <c r="N113" s="20">
        <f>IF(H113=0,0,L113/H113)</f>
        <v>0</v>
      </c>
      <c r="O113" s="12"/>
      <c r="P113" s="3">
        <f>--207885.38</f>
        <v>207885.38</v>
      </c>
      <c r="Q113" s="3"/>
      <c r="R113" s="20">
        <f>IF(P$12=0,0,P113/P$12)</f>
        <v>0.10355722257491221</v>
      </c>
      <c r="S113" s="3"/>
      <c r="T113" s="3">
        <v>1000</v>
      </c>
      <c r="U113" s="3"/>
      <c r="V113" s="20">
        <f>IF(T$12=0,0,T113/T$12)</f>
        <v>3.9108574789674085E-4</v>
      </c>
      <c r="W113" s="3"/>
      <c r="X113" s="3">
        <f>+P113-T113</f>
        <v>206885.38</v>
      </c>
      <c r="Y113" s="3"/>
      <c r="Z113" s="20">
        <f>IF(T113=0,0,X113/T113)</f>
        <v>206.88538</v>
      </c>
    </row>
    <row r="114" spans="1:26" s="70" customFormat="1" ht="15" hidden="1" customHeight="1" outlineLevel="1" x14ac:dyDescent="0.25">
      <c r="A114" s="42"/>
      <c r="B114" s="12" t="str">
        <f>CONCATENATE("          ","9151"," - ","MISC. INCOME")</f>
        <v xml:space="preserve">          9151 - MISC.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>
        <v>14541.98</v>
      </c>
      <c r="I114" s="3"/>
      <c r="J114" s="20">
        <f>IF(H$12=0,0,H114/H$12)</f>
        <v>5.0373000422604487E-2</v>
      </c>
      <c r="K114" s="3"/>
      <c r="L114" s="3">
        <f>+D114-H114</f>
        <v>-14541.98</v>
      </c>
      <c r="M114" s="3"/>
      <c r="N114" s="20">
        <f>IF(H114=0,0,L114/H114)</f>
        <v>-1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>
        <v>71840.89</v>
      </c>
      <c r="U114" s="3"/>
      <c r="V114" s="20">
        <f>IF(T$12=0,0,T114/T$12)</f>
        <v>2.8095948195217491E-2</v>
      </c>
      <c r="W114" s="3"/>
      <c r="X114" s="3">
        <f>+P114-T114</f>
        <v>-71840.89</v>
      </c>
      <c r="Y114" s="3"/>
      <c r="Z114" s="20">
        <f>IF(T114=0,0,X114/T114)</f>
        <v>-1</v>
      </c>
    </row>
    <row r="115" spans="1:26" s="70" customFormat="1" ht="15" hidden="1" customHeight="1" outlineLevel="1" x14ac:dyDescent="0.25">
      <c r="A115" s="42"/>
      <c r="B115" s="12" t="str">
        <f>CONCATENATE("          ","9160"," - ","MISC. INCOME")</f>
        <v xml:space="preserve">          9160 - MISC. INCOME</v>
      </c>
      <c r="C115" s="12"/>
      <c r="D115" s="3">
        <f>0</f>
        <v>0</v>
      </c>
      <c r="E115" s="3"/>
      <c r="F115" s="20">
        <f>IF(D$12=0,0,D115/D$12)</f>
        <v>0</v>
      </c>
      <c r="G115" s="3"/>
      <c r="H115" s="3">
        <v>14578.51</v>
      </c>
      <c r="I115" s="3"/>
      <c r="J115" s="20">
        <f>IF(H$12=0,0,H115/H$12)</f>
        <v>5.0499539291825719E-2</v>
      </c>
      <c r="K115" s="3"/>
      <c r="L115" s="3">
        <f>+D115-H115</f>
        <v>-14578.51</v>
      </c>
      <c r="M115" s="3"/>
      <c r="N115" s="20">
        <f>IF(H115=0,0,L115/H115)</f>
        <v>-1</v>
      </c>
      <c r="O115" s="12"/>
      <c r="P115" s="3">
        <f>0</f>
        <v>0</v>
      </c>
      <c r="Q115" s="3"/>
      <c r="R115" s="20">
        <f>IF(P$12=0,0,P115/P$12)</f>
        <v>0</v>
      </c>
      <c r="S115" s="3"/>
      <c r="T115" s="3">
        <v>91012.13</v>
      </c>
      <c r="U115" s="3"/>
      <c r="V115" s="20">
        <f>IF(T$12=0,0,T115/T$12)</f>
        <v>3.5593546928725406E-2</v>
      </c>
      <c r="W115" s="3"/>
      <c r="X115" s="3">
        <f>+P115-T115</f>
        <v>-91012.13</v>
      </c>
      <c r="Y115" s="3"/>
      <c r="Z115" s="20">
        <f>IF(T115=0,0,X115/T115)</f>
        <v>-1</v>
      </c>
    </row>
    <row r="116" spans="1:26" s="70" customFormat="1" ht="15" hidden="1" customHeight="1" outlineLevel="1" x14ac:dyDescent="0.25">
      <c r="A116" s="42"/>
      <c r="B116" s="12" t="str">
        <f>CONCATENATE("          ","9165"," - ","OTHER INCOME")</f>
        <v xml:space="preserve">          9165 - OTHER INCOME</v>
      </c>
      <c r="C116" s="12"/>
      <c r="D116" s="3">
        <f>0</f>
        <v>0</v>
      </c>
      <c r="E116" s="3"/>
      <c r="F116" s="20">
        <f>IF(D$12=0,0,D116/D$12)</f>
        <v>0</v>
      </c>
      <c r="G116" s="3"/>
      <c r="H116" s="3"/>
      <c r="I116" s="3"/>
      <c r="J116" s="20">
        <f>IF(H$12=0,0,H116/H$12)</f>
        <v>0</v>
      </c>
      <c r="K116" s="3"/>
      <c r="L116" s="3">
        <f>+D116-H116</f>
        <v>0</v>
      </c>
      <c r="M116" s="3"/>
      <c r="N116" s="20">
        <f>IF(H116=0,0,L116/H116)</f>
        <v>0</v>
      </c>
      <c r="O116" s="12"/>
      <c r="P116" s="3">
        <f>0</f>
        <v>0</v>
      </c>
      <c r="Q116" s="3"/>
      <c r="R116" s="20">
        <f>IF(P$12=0,0,P116/P$12)</f>
        <v>0</v>
      </c>
      <c r="S116" s="3"/>
      <c r="T116" s="3"/>
      <c r="U116" s="3"/>
      <c r="V116" s="20">
        <f>IF(T$12=0,0,T116/T$12)</f>
        <v>0</v>
      </c>
      <c r="W116" s="3"/>
      <c r="X116" s="3">
        <f>+P116-T116</f>
        <v>0</v>
      </c>
      <c r="Y116" s="3"/>
      <c r="Z116" s="20">
        <f>IF(T116=0,0,X116/T116)</f>
        <v>0</v>
      </c>
    </row>
    <row r="117" spans="1:26" ht="15" customHeight="1" x14ac:dyDescent="0.25">
      <c r="A117" s="10"/>
      <c r="B117" s="11"/>
      <c r="C117" s="11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O117" s="11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25">
      <c r="A118" s="11"/>
      <c r="B118" s="28" t="s">
        <v>292</v>
      </c>
      <c r="C118" s="28"/>
      <c r="D118" s="22">
        <f>+D25-D27+D112</f>
        <v>-141223.24999999997</v>
      </c>
      <c r="E118" s="15"/>
      <c r="F118" s="21">
        <f>IF(D$12=0,0,D118/D$12)</f>
        <v>-0.68766151237545547</v>
      </c>
      <c r="G118" s="15"/>
      <c r="H118" s="22">
        <f>+H25-H27+H112</f>
        <v>-13628.69999382033</v>
      </c>
      <c r="I118" s="15"/>
      <c r="J118" s="21">
        <f>IF(H$12=0,0,H118/H$12)</f>
        <v>-4.7209424751530484E-2</v>
      </c>
      <c r="K118" s="16"/>
      <c r="L118" s="22">
        <f>+D118-H118</f>
        <v>-127594.55000617963</v>
      </c>
      <c r="M118" s="16"/>
      <c r="N118" s="21">
        <f>IF(H118=0,0,L118/H118)</f>
        <v>9.3621952250790539</v>
      </c>
      <c r="O118" s="27"/>
      <c r="P118" s="22">
        <f>+P25-P27+P112</f>
        <v>-1090724.600000001</v>
      </c>
      <c r="Q118" s="15"/>
      <c r="R118" s="21">
        <f>IF(P$12=0,0,P118/P$12)</f>
        <v>-0.54333984511143685</v>
      </c>
      <c r="S118" s="15"/>
      <c r="T118" s="22">
        <f>+T25-T27+T112</f>
        <v>-719117.53621489508</v>
      </c>
      <c r="U118" s="15"/>
      <c r="V118" s="21">
        <f>IF(T$12=0,0,T118/T$12)</f>
        <v>-0.28123661947626388</v>
      </c>
      <c r="W118" s="16"/>
      <c r="X118" s="22">
        <f>+P118-T118</f>
        <v>-371607.06378510594</v>
      </c>
      <c r="Y118" s="16"/>
      <c r="Z118" s="21">
        <f>IF(T118=0,0,X118/T118)</f>
        <v>0.5167542787804551</v>
      </c>
    </row>
    <row r="119" spans="1:26" ht="15" customHeight="1" x14ac:dyDescent="0.25">
      <c r="A119" s="10"/>
      <c r="B119" s="11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25">
      <c r="A120" s="49"/>
      <c r="B120" s="11" t="s">
        <v>293</v>
      </c>
      <c r="C120" s="11"/>
      <c r="D120" s="5">
        <v>21541.37</v>
      </c>
      <c r="E120" s="5"/>
      <c r="F120" s="13">
        <f>IF(D$12=0,0,D120/D$12)</f>
        <v>0.10489187207375036</v>
      </c>
      <c r="G120" s="5"/>
      <c r="H120" s="5">
        <v>37934</v>
      </c>
      <c r="I120" s="5"/>
      <c r="J120" s="13">
        <f>IF(H$12=0,0,H120/H$12)</f>
        <v>0.13140228483542674</v>
      </c>
      <c r="K120" s="5"/>
      <c r="L120" s="5">
        <f>+D120-H120</f>
        <v>-16392.63</v>
      </c>
      <c r="M120" s="5"/>
      <c r="N120" s="13">
        <f>IF(H120=0,0,L120/H120)</f>
        <v>-0.43213555122054098</v>
      </c>
      <c r="O120" s="11"/>
      <c r="P120" s="5">
        <v>225687.66</v>
      </c>
      <c r="Q120" s="5"/>
      <c r="R120" s="13">
        <f>IF(P$12=0,0,P120/P$12)</f>
        <v>0.11242535304325446</v>
      </c>
      <c r="S120" s="5"/>
      <c r="T120" s="5">
        <v>316967</v>
      </c>
      <c r="U120" s="5"/>
      <c r="V120" s="13">
        <f>IF(T$12=0,0,T120/T$12)</f>
        <v>0.12396127625358626</v>
      </c>
      <c r="W120" s="5"/>
      <c r="X120" s="5">
        <f>+P120-T120</f>
        <v>-91279.34</v>
      </c>
      <c r="Y120" s="5"/>
      <c r="Z120" s="13">
        <f>IF(T120=0,0,X120/T120)</f>
        <v>-0.28797742351727468</v>
      </c>
    </row>
    <row r="121" spans="1:26" ht="15" customHeight="1" x14ac:dyDescent="0.25">
      <c r="A121" s="10"/>
      <c r="B121" s="11"/>
      <c r="C121" s="11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O121" s="11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s="63" customFormat="1" ht="15" customHeight="1" x14ac:dyDescent="0.25">
      <c r="A122" s="11"/>
      <c r="B122" s="28" t="s">
        <v>294</v>
      </c>
      <c r="C122" s="28"/>
      <c r="D122" s="34">
        <f>+D118-D120</f>
        <v>-162764.61999999997</v>
      </c>
      <c r="E122" s="15"/>
      <c r="F122" s="32">
        <f>IF(D$12=0,0,D122/D$12)</f>
        <v>-0.79255338444920576</v>
      </c>
      <c r="G122" s="15"/>
      <c r="H122" s="34">
        <f>+H118-H120</f>
        <v>-51562.69999382033</v>
      </c>
      <c r="I122" s="15"/>
      <c r="J122" s="32">
        <f>IF(H$12=0,0,H122/H$12)</f>
        <v>-0.17861170958695721</v>
      </c>
      <c r="K122" s="16"/>
      <c r="L122" s="34">
        <f>D122-H122</f>
        <v>-111201.92000617963</v>
      </c>
      <c r="M122" s="16"/>
      <c r="N122" s="32">
        <f>IF(H122=0,0,L122/H122)</f>
        <v>2.1566349322185792</v>
      </c>
      <c r="O122" s="27"/>
      <c r="P122" s="34">
        <f>+P118-P120</f>
        <v>-1316412.2600000009</v>
      </c>
      <c r="Q122" s="15"/>
      <c r="R122" s="32">
        <f>IF(P$12=0,0,P122/P$12)</f>
        <v>-0.65576519815469125</v>
      </c>
      <c r="S122" s="15"/>
      <c r="T122" s="34">
        <f>+T118-T120</f>
        <v>-1036084.5362148951</v>
      </c>
      <c r="U122" s="15"/>
      <c r="V122" s="32">
        <f>IF(T$12=0,0,T122/T$12)</f>
        <v>-0.4051978957298501</v>
      </c>
      <c r="W122" s="16"/>
      <c r="X122" s="34">
        <f>P122-T122</f>
        <v>-280327.72378510586</v>
      </c>
      <c r="Y122" s="16"/>
      <c r="Z122" s="32">
        <f>IF(T122=0,0,X122/T122)</f>
        <v>0.27056452826641059</v>
      </c>
    </row>
    <row r="123" spans="1:26" ht="15" customHeight="1" x14ac:dyDescent="0.25">
      <c r="A123" s="10"/>
      <c r="B123" s="10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ht="15" customHeight="1" x14ac:dyDescent="0.25">
      <c r="A124" s="10"/>
      <c r="B124" s="10"/>
      <c r="C124" s="10"/>
      <c r="D124" s="4"/>
      <c r="E124" s="4"/>
      <c r="F124" s="9"/>
      <c r="G124" s="4"/>
      <c r="H124" s="4"/>
      <c r="I124" s="4"/>
      <c r="J124" s="9"/>
      <c r="K124" s="4"/>
      <c r="L124" s="4"/>
      <c r="M124" s="4"/>
      <c r="N124" s="9"/>
      <c r="P124" s="4"/>
      <c r="Q124" s="4"/>
      <c r="R124" s="9"/>
      <c r="S124" s="4"/>
      <c r="T124" s="4"/>
      <c r="U124" s="4"/>
      <c r="V124" s="9"/>
      <c r="W124" s="4"/>
      <c r="X124" s="4"/>
      <c r="Y124" s="4"/>
      <c r="Z124" s="9"/>
    </row>
    <row r="125" spans="1:26" s="63" customFormat="1" ht="15" customHeight="1" x14ac:dyDescent="0.25">
      <c r="A125" s="11"/>
      <c r="B125" s="28" t="s">
        <v>297</v>
      </c>
      <c r="C125" s="28"/>
      <c r="D125" s="30">
        <f>SUM(D122:D124)</f>
        <v>-162764.61999999997</v>
      </c>
      <c r="E125" s="15"/>
      <c r="F125" s="33">
        <f>IF(D$12=0,0,D125/D$12)</f>
        <v>-0.79255338444920576</v>
      </c>
      <c r="G125" s="15"/>
      <c r="H125" s="30">
        <f>SUM(H122:H124)</f>
        <v>-51562.69999382033</v>
      </c>
      <c r="I125" s="15"/>
      <c r="J125" s="33">
        <f>IF(H$12=0,0,H125/H$12)</f>
        <v>-0.17861170958695721</v>
      </c>
      <c r="K125" s="16"/>
      <c r="L125" s="30">
        <f>+D125-H125</f>
        <v>-111201.92000617963</v>
      </c>
      <c r="M125" s="16"/>
      <c r="N125" s="33">
        <f>IF(H125=0,0,L125/H125)</f>
        <v>2.1566349322185792</v>
      </c>
      <c r="O125" s="27"/>
      <c r="P125" s="30">
        <f>SUM(P122:P124)</f>
        <v>-1316412.2600000009</v>
      </c>
      <c r="Q125" s="15"/>
      <c r="R125" s="33">
        <f>IF(P$12=0,0,P125/P$12)</f>
        <v>-0.65576519815469125</v>
      </c>
      <c r="S125" s="15"/>
      <c r="T125" s="30">
        <f>SUM(T122:T124)</f>
        <v>-1036084.5362148951</v>
      </c>
      <c r="U125" s="15"/>
      <c r="V125" s="33">
        <f>IF(T$12=0,0,T125/T$12)</f>
        <v>-0.4051978957298501</v>
      </c>
      <c r="W125" s="16"/>
      <c r="X125" s="30">
        <f>+P125-T125</f>
        <v>-280327.72378510586</v>
      </c>
      <c r="Y125" s="16"/>
      <c r="Z125" s="33">
        <f>IF(T125=0,0,X125/T125)</f>
        <v>0.27056452826641059</v>
      </c>
    </row>
    <row r="126" spans="1:26" ht="15" customHeight="1" x14ac:dyDescent="0.25">
      <c r="A126" s="10"/>
      <c r="C126" s="10"/>
      <c r="D126" s="18"/>
      <c r="E126" s="18"/>
      <c r="G126" s="18"/>
      <c r="H126" s="18"/>
      <c r="I126" s="18"/>
      <c r="J126" s="40"/>
      <c r="K126" s="18"/>
      <c r="L126" s="18"/>
      <c r="M126" s="18"/>
      <c r="P126" s="18"/>
      <c r="Q126" s="18"/>
      <c r="R126" s="40"/>
      <c r="S126" s="18"/>
      <c r="T126" s="18"/>
      <c r="U126" s="18"/>
      <c r="V126" s="40"/>
      <c r="W126" s="18"/>
      <c r="X126" s="18"/>
    </row>
    <row r="127" spans="1:26" ht="15" customHeight="1" x14ac:dyDescent="0.25">
      <c r="A127" s="10"/>
      <c r="B127" s="54">
        <v>44727.874477280093</v>
      </c>
      <c r="D127" s="18"/>
      <c r="E127" s="18"/>
      <c r="G127" s="18"/>
      <c r="H127" s="18"/>
      <c r="I127" s="18"/>
      <c r="J127" s="40"/>
      <c r="K127" s="18"/>
      <c r="L127" s="18"/>
      <c r="M127" s="18"/>
      <c r="P127" s="18"/>
      <c r="Q127" s="18"/>
      <c r="R127" s="40"/>
      <c r="S127" s="18"/>
      <c r="T127" s="18"/>
      <c r="U127" s="18"/>
      <c r="V127" s="40"/>
      <c r="W127" s="18"/>
      <c r="X127" s="18"/>
    </row>
    <row r="128" spans="1:26" ht="15" customHeight="1" x14ac:dyDescent="0.25">
      <c r="A128" s="10"/>
      <c r="B128" s="50" t="s">
        <v>298</v>
      </c>
      <c r="D128" s="18"/>
      <c r="E128" s="18"/>
      <c r="G128" s="18"/>
      <c r="H128" s="18"/>
      <c r="I128" s="18"/>
      <c r="J128" s="40"/>
      <c r="K128" s="18"/>
      <c r="L128" s="18"/>
      <c r="M128" s="18"/>
      <c r="P128" s="18"/>
      <c r="Q128" s="18"/>
      <c r="R128" s="40"/>
      <c r="S128" s="18"/>
      <c r="T128" s="18"/>
      <c r="U128" s="18"/>
      <c r="V128" s="40"/>
      <c r="W128" s="18"/>
      <c r="X128" s="18"/>
    </row>
    <row r="129" spans="1:24" ht="15" customHeight="1" x14ac:dyDescent="0.25">
      <c r="A129" s="10"/>
      <c r="B129" s="58"/>
      <c r="D129" s="18"/>
      <c r="E129" s="18"/>
      <c r="G129" s="18"/>
      <c r="H129" s="18"/>
      <c r="I129" s="18"/>
      <c r="J129" s="40"/>
      <c r="K129" s="18"/>
      <c r="L129" s="18"/>
      <c r="M129" s="18"/>
      <c r="P129" s="18"/>
      <c r="Q129" s="18"/>
      <c r="R129" s="40"/>
      <c r="S129" s="18"/>
      <c r="T129" s="18"/>
      <c r="U129" s="18"/>
      <c r="V129" s="40"/>
      <c r="W129" s="18"/>
      <c r="X129" s="18"/>
    </row>
    <row r="130" spans="1:24" ht="15" customHeight="1" x14ac:dyDescent="0.25">
      <c r="D130" s="18"/>
      <c r="E130" s="18"/>
      <c r="G130" s="18"/>
      <c r="H130" s="18"/>
      <c r="I130" s="18"/>
      <c r="J130" s="40"/>
      <c r="K130" s="18"/>
      <c r="L130" s="18"/>
      <c r="M130" s="18"/>
      <c r="P130" s="18"/>
      <c r="Q130" s="18"/>
      <c r="R130" s="40"/>
      <c r="S130" s="18"/>
      <c r="T130" s="18"/>
      <c r="U130" s="18"/>
      <c r="V130" s="40"/>
      <c r="W130" s="18"/>
      <c r="X13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12EB-72F8-CA82-8A26-42D201935B24}">
  <sheetPr>
    <tabColor rgb="FFFFFF00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312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118948.12999999999</v>
      </c>
      <c r="E12" s="5"/>
      <c r="F12" s="13"/>
      <c r="G12" s="5"/>
      <c r="H12" s="5">
        <f>SUM(OSRRefH13x_0)</f>
        <v>245916</v>
      </c>
      <c r="I12" s="5"/>
      <c r="J12" s="13"/>
      <c r="K12" s="5"/>
      <c r="L12" s="5">
        <f t="shared" ref="L12:L17" si="0">+D12-H12</f>
        <v>-126967.87000000001</v>
      </c>
      <c r="M12" s="5"/>
      <c r="N12" s="13">
        <f t="shared" ref="N12:N17" si="1">IF(H12=0,0,L12/H12)</f>
        <v>-0.51630585240488625</v>
      </c>
      <c r="O12" s="11"/>
      <c r="P12" s="5">
        <f>SUM(OSRRefP13x_0)</f>
        <v>1509480.6300000001</v>
      </c>
      <c r="Q12" s="5"/>
      <c r="R12" s="13"/>
      <c r="S12" s="5"/>
      <c r="T12" s="5">
        <f>SUM(OSRRefT13x_0)</f>
        <v>2052100</v>
      </c>
      <c r="U12" s="5"/>
      <c r="V12" s="13"/>
      <c r="W12" s="5"/>
      <c r="X12" s="5">
        <f t="shared" ref="X12:X17" si="2">+P12-T12</f>
        <v>-542619.36999999988</v>
      </c>
      <c r="Y12" s="5"/>
      <c r="Z12" s="13">
        <f t="shared" ref="Z12:Z17" si="3">IF(T12=0,0,X12/T12)</f>
        <v>-0.26442150479996096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107544</v>
      </c>
      <c r="I13" s="3"/>
      <c r="J13" s="20"/>
      <c r="K13" s="3"/>
      <c r="L13" s="3">
        <f t="shared" si="0"/>
        <v>-107544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831823</v>
      </c>
      <c r="U13" s="3"/>
      <c r="V13" s="20"/>
      <c r="W13" s="3"/>
      <c r="X13" s="3">
        <f t="shared" si="2"/>
        <v>-831823</v>
      </c>
      <c r="Y13" s="3"/>
      <c r="Z13" s="20">
        <f t="shared" si="3"/>
        <v>-1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--27103.03</f>
        <v>27103.03</v>
      </c>
      <c r="E14" s="3"/>
      <c r="F14" s="20"/>
      <c r="G14" s="3"/>
      <c r="H14" s="3"/>
      <c r="I14" s="3"/>
      <c r="J14" s="20"/>
      <c r="K14" s="3"/>
      <c r="L14" s="3">
        <f t="shared" si="0"/>
        <v>27103.03</v>
      </c>
      <c r="M14" s="3"/>
      <c r="N14" s="20">
        <f t="shared" si="1"/>
        <v>0</v>
      </c>
      <c r="O14" s="12"/>
      <c r="P14" s="3">
        <f>--346011.28</f>
        <v>346011.28</v>
      </c>
      <c r="Q14" s="3"/>
      <c r="R14" s="20"/>
      <c r="S14" s="3"/>
      <c r="T14" s="3"/>
      <c r="U14" s="3"/>
      <c r="V14" s="20"/>
      <c r="W14" s="3"/>
      <c r="X14" s="3">
        <f t="shared" si="2"/>
        <v>346011.28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--493.42</f>
        <v>493.42</v>
      </c>
      <c r="E15" s="3"/>
      <c r="F15" s="20"/>
      <c r="G15" s="3"/>
      <c r="H15" s="3"/>
      <c r="I15" s="3"/>
      <c r="J15" s="20"/>
      <c r="K15" s="3"/>
      <c r="L15" s="3">
        <f t="shared" si="0"/>
        <v>493.42</v>
      </c>
      <c r="M15" s="3"/>
      <c r="N15" s="20">
        <f t="shared" si="1"/>
        <v>0</v>
      </c>
      <c r="O15" s="12"/>
      <c r="P15" s="3">
        <f>--24745.26</f>
        <v>24745.26</v>
      </c>
      <c r="Q15" s="3"/>
      <c r="R15" s="20"/>
      <c r="S15" s="3"/>
      <c r="T15" s="3"/>
      <c r="U15" s="3"/>
      <c r="V15" s="20"/>
      <c r="W15" s="3"/>
      <c r="X15" s="3">
        <f t="shared" si="2"/>
        <v>24745.26</v>
      </c>
      <c r="Y15" s="3"/>
      <c r="Z15" s="20">
        <f t="shared" si="3"/>
        <v>0</v>
      </c>
    </row>
    <row r="16" spans="1:26" s="70" customFormat="1" ht="15" hidden="1" customHeight="1" outlineLevel="1" x14ac:dyDescent="0.25">
      <c r="A16" s="42"/>
      <c r="B16" s="12" t="str">
        <f>CONCATENATE("          ","4100"," - ","NON-TAXABLE SALES")</f>
        <v xml:space="preserve">          4100 - NON-TAXABLE SALES</v>
      </c>
      <c r="C16" s="12"/>
      <c r="D16" s="3">
        <f>0</f>
        <v>0</v>
      </c>
      <c r="E16" s="3"/>
      <c r="F16" s="20"/>
      <c r="G16" s="3"/>
      <c r="H16" s="3">
        <v>138372</v>
      </c>
      <c r="I16" s="3"/>
      <c r="J16" s="20"/>
      <c r="K16" s="3"/>
      <c r="L16" s="3">
        <f t="shared" si="0"/>
        <v>-138372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v>1220277</v>
      </c>
      <c r="U16" s="3"/>
      <c r="V16" s="20"/>
      <c r="W16" s="3"/>
      <c r="X16" s="3">
        <f t="shared" si="2"/>
        <v>-1220277</v>
      </c>
      <c r="Y16" s="3"/>
      <c r="Z16" s="20">
        <f t="shared" si="3"/>
        <v>-1</v>
      </c>
    </row>
    <row r="17" spans="1:26" s="70" customFormat="1" ht="15" hidden="1" customHeight="1" outlineLevel="1" x14ac:dyDescent="0.25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--91351.68</f>
        <v>91351.679999999993</v>
      </c>
      <c r="E17" s="3"/>
      <c r="F17" s="20"/>
      <c r="G17" s="3"/>
      <c r="H17" s="3"/>
      <c r="I17" s="3"/>
      <c r="J17" s="20"/>
      <c r="K17" s="3"/>
      <c r="L17" s="3">
        <f t="shared" si="0"/>
        <v>91351.679999999993</v>
      </c>
      <c r="M17" s="3"/>
      <c r="N17" s="20">
        <f t="shared" si="1"/>
        <v>0</v>
      </c>
      <c r="O17" s="12"/>
      <c r="P17" s="3">
        <f>--1138724.09</f>
        <v>1138724.0900000001</v>
      </c>
      <c r="Q17" s="3"/>
      <c r="R17" s="20"/>
      <c r="S17" s="3"/>
      <c r="T17" s="3"/>
      <c r="U17" s="3"/>
      <c r="V17" s="20"/>
      <c r="W17" s="3"/>
      <c r="X17" s="3">
        <f t="shared" si="2"/>
        <v>1138724.0900000001</v>
      </c>
      <c r="Y17" s="3"/>
      <c r="Z17" s="20">
        <f t="shared" si="3"/>
        <v>0</v>
      </c>
    </row>
    <row r="18" spans="1:26" ht="15" customHeight="1" x14ac:dyDescent="0.25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25">
      <c r="A19" s="11"/>
      <c r="B19" s="27" t="s">
        <v>288</v>
      </c>
      <c r="C19" s="11"/>
      <c r="D19" s="5">
        <f>SUM(OSRRefD16x_0)</f>
        <v>72465.45</v>
      </c>
      <c r="E19" s="5"/>
      <c r="F19" s="13">
        <f>IF(D$12=0,0,D19/D$12)</f>
        <v>0.60921890911609966</v>
      </c>
      <c r="G19" s="5"/>
      <c r="H19" s="5">
        <f>SUM(OSRRefH16x_0)</f>
        <v>85269</v>
      </c>
      <c r="I19" s="5"/>
      <c r="J19" s="13">
        <f>IF(H$12=0,0,H19/H$12)</f>
        <v>0.34674035036353879</v>
      </c>
      <c r="K19" s="5"/>
      <c r="L19" s="5">
        <f>+D19-H19</f>
        <v>-12803.550000000003</v>
      </c>
      <c r="M19" s="5"/>
      <c r="N19" s="13">
        <f>IF(H19=0,0,L19/H19)</f>
        <v>-0.15015480420785987</v>
      </c>
      <c r="O19" s="11"/>
      <c r="P19" s="5">
        <f>SUM(OSRRefP16x_0)</f>
        <v>589783.07999999996</v>
      </c>
      <c r="Q19" s="5"/>
      <c r="R19" s="13">
        <f>IF(P$12=0,0,P19/P$12)</f>
        <v>0.39071921048764957</v>
      </c>
      <c r="S19" s="5"/>
      <c r="T19" s="5">
        <f>SUM(OSRRefT16x_0)</f>
        <v>705003</v>
      </c>
      <c r="U19" s="5"/>
      <c r="V19" s="13">
        <f>IF(T$12=0,0,T19/T$12)</f>
        <v>0.34355197115150332</v>
      </c>
      <c r="W19" s="5"/>
      <c r="X19" s="5">
        <f>+P19-T19</f>
        <v>-115219.92000000004</v>
      </c>
      <c r="Y19" s="5"/>
      <c r="Z19" s="13">
        <f>IF(T19=0,0,X19/T19)</f>
        <v>-0.16343181518376523</v>
      </c>
    </row>
    <row r="20" spans="1:26" s="70" customFormat="1" ht="15" hidden="1" customHeight="1" outlineLevel="1" x14ac:dyDescent="0.25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85269</v>
      </c>
      <c r="I20" s="3"/>
      <c r="J20" s="20">
        <f>IF(H$12=0,0,H20/H$12)</f>
        <v>0.34674035036353879</v>
      </c>
      <c r="K20" s="3"/>
      <c r="L20" s="3">
        <f>+D20-H20</f>
        <v>-85269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705003</v>
      </c>
      <c r="U20" s="3"/>
      <c r="V20" s="20">
        <f>IF(T$12=0,0,T20/T$12)</f>
        <v>0.34355197115150332</v>
      </c>
      <c r="W20" s="3"/>
      <c r="X20" s="3">
        <f>+P20-T20</f>
        <v>-705003</v>
      </c>
      <c r="Y20" s="3"/>
      <c r="Z20" s="20">
        <f>IF(T20=0,0,X20/T20)</f>
        <v>-1</v>
      </c>
    </row>
    <row r="21" spans="1:26" s="70" customFormat="1" ht="15" hidden="1" customHeight="1" outlineLevel="1" x14ac:dyDescent="0.25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52434.99</v>
      </c>
      <c r="E21" s="3"/>
      <c r="F21" s="20">
        <f>IF(D$12=0,0,D21/D$12)</f>
        <v>0.44082231473500255</v>
      </c>
      <c r="G21" s="3"/>
      <c r="H21" s="3"/>
      <c r="I21" s="3"/>
      <c r="J21" s="20">
        <f>IF(H$12=0,0,H21/H$12)</f>
        <v>0</v>
      </c>
      <c r="K21" s="3"/>
      <c r="L21" s="3">
        <f>+D21-H21</f>
        <v>52434.99</v>
      </c>
      <c r="M21" s="3"/>
      <c r="N21" s="20">
        <f>IF(H21=0,0,L21/H21)</f>
        <v>0</v>
      </c>
      <c r="O21" s="12"/>
      <c r="P21" s="3">
        <v>503650.25</v>
      </c>
      <c r="Q21" s="3"/>
      <c r="R21" s="20">
        <f>IF(P$12=0,0,P21/P$12)</f>
        <v>0.33365797479627146</v>
      </c>
      <c r="S21" s="3"/>
      <c r="T21" s="3"/>
      <c r="U21" s="3"/>
      <c r="V21" s="20">
        <f>IF(T$12=0,0,T21/T$12)</f>
        <v>0</v>
      </c>
      <c r="W21" s="3"/>
      <c r="X21" s="3">
        <f>+P21-T21</f>
        <v>503650.25</v>
      </c>
      <c r="Y21" s="3"/>
      <c r="Z21" s="20">
        <f>IF(T21=0,0,X21/T21)</f>
        <v>0</v>
      </c>
    </row>
    <row r="22" spans="1:26" s="70" customFormat="1" ht="15" hidden="1" customHeight="1" outlineLevel="1" x14ac:dyDescent="0.25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20030.46</v>
      </c>
      <c r="E22" s="3"/>
      <c r="F22" s="20">
        <f>IF(D$12=0,0,D22/D$12)</f>
        <v>0.16839659438109705</v>
      </c>
      <c r="G22" s="3"/>
      <c r="H22" s="3"/>
      <c r="I22" s="3"/>
      <c r="J22" s="20">
        <f>IF(H$12=0,0,H22/H$12)</f>
        <v>0</v>
      </c>
      <c r="K22" s="3"/>
      <c r="L22" s="3">
        <f>+D22-H22</f>
        <v>20030.46</v>
      </c>
      <c r="M22" s="3"/>
      <c r="N22" s="20">
        <f>IF(H22=0,0,L22/H22)</f>
        <v>0</v>
      </c>
      <c r="O22" s="12"/>
      <c r="P22" s="3">
        <v>86132.83</v>
      </c>
      <c r="Q22" s="3"/>
      <c r="R22" s="20">
        <f>IF(P$12=0,0,P22/P$12)</f>
        <v>5.7061235691378165E-2</v>
      </c>
      <c r="S22" s="3"/>
      <c r="T22" s="3"/>
      <c r="U22" s="3"/>
      <c r="V22" s="20">
        <f>IF(T$12=0,0,T22/T$12)</f>
        <v>0</v>
      </c>
      <c r="W22" s="3"/>
      <c r="X22" s="3">
        <f>+P22-T22</f>
        <v>86132.83</v>
      </c>
      <c r="Y22" s="3"/>
      <c r="Z22" s="20">
        <f>IF(T22=0,0,X22/T22)</f>
        <v>0</v>
      </c>
    </row>
    <row r="23" spans="1:26" ht="15" customHeight="1" x14ac:dyDescent="0.25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25">
      <c r="A24" s="11"/>
      <c r="B24" s="28" t="s">
        <v>289</v>
      </c>
      <c r="C24" s="28"/>
      <c r="D24" s="22">
        <f>D12-D19</f>
        <v>46482.679999999993</v>
      </c>
      <c r="E24" s="15"/>
      <c r="F24" s="21">
        <f>IF(D$12=0,0,D24/D$12)</f>
        <v>0.39078109088390039</v>
      </c>
      <c r="G24" s="15"/>
      <c r="H24" s="22">
        <f>H12-H19</f>
        <v>160647</v>
      </c>
      <c r="I24" s="15"/>
      <c r="J24" s="21">
        <f>IF(H$12=0,0,H24/H$12)</f>
        <v>0.65325964963646121</v>
      </c>
      <c r="K24" s="16"/>
      <c r="L24" s="22">
        <f>+D24-H24</f>
        <v>-114164.32</v>
      </c>
      <c r="M24" s="16"/>
      <c r="N24" s="21">
        <f>IF(H24=0,0,L24/H24)</f>
        <v>-0.71065329573537017</v>
      </c>
      <c r="O24" s="27"/>
      <c r="P24" s="22">
        <f>P12-P19</f>
        <v>919697.55000000016</v>
      </c>
      <c r="Q24" s="15"/>
      <c r="R24" s="21">
        <f>IF(P$12=0,0,P24/P$12)</f>
        <v>0.60928078951235043</v>
      </c>
      <c r="S24" s="15"/>
      <c r="T24" s="22">
        <f>T12-T19</f>
        <v>1347097</v>
      </c>
      <c r="U24" s="15"/>
      <c r="V24" s="21">
        <f>IF(T$12=0,0,T24/T$12)</f>
        <v>0.65644802884849662</v>
      </c>
      <c r="W24" s="16"/>
      <c r="X24" s="22">
        <f>+P24-T24</f>
        <v>-427399.44999999984</v>
      </c>
      <c r="Y24" s="16"/>
      <c r="Z24" s="21">
        <f>IF(T24=0,0,X24/T24)</f>
        <v>-0.31727444274614214</v>
      </c>
    </row>
    <row r="25" spans="1:26" ht="15" customHeight="1" x14ac:dyDescent="0.25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25">
      <c r="A26" s="11"/>
      <c r="B26" s="27" t="s">
        <v>290</v>
      </c>
      <c r="C26" s="11"/>
      <c r="D26" s="23" cm="1">
        <f t="array" ref="D26">SUM(OSRRefD22x_0)</f>
        <v>225940.38999999996</v>
      </c>
      <c r="E26" s="23"/>
      <c r="F26" s="31">
        <f t="shared" ref="F26:F57" si="4">IF(D$12=0,0,D26/D$12)</f>
        <v>1.8994866922245854</v>
      </c>
      <c r="G26" s="23"/>
      <c r="H26" s="23" cm="1">
        <f t="array" ref="H26">SUM(OSRRefH22x_0)</f>
        <v>192253.49540401262</v>
      </c>
      <c r="I26" s="23"/>
      <c r="J26" s="31">
        <f t="shared" ref="J26:J57" si="5">IF(H$12=0,0,H26/H$12)</f>
        <v>0.78178522505250825</v>
      </c>
      <c r="K26" s="5"/>
      <c r="L26" s="23">
        <f t="shared" ref="L26:L57" si="6">+D26-H26</f>
        <v>33686.894595987338</v>
      </c>
      <c r="M26" s="5"/>
      <c r="N26" s="31">
        <f t="shared" ref="N26:N57" si="7">IF(H26=0,0,L26/H26)</f>
        <v>0.17522123343035065</v>
      </c>
      <c r="O26" s="11"/>
      <c r="P26" s="23" cm="1">
        <f t="array" ref="P26">SUM(OSRRefP22x_0)</f>
        <v>2119420.8400000003</v>
      </c>
      <c r="Q26" s="23"/>
      <c r="R26" s="31">
        <f t="shared" ref="R26:R57" si="8">IF(P$12=0,0,P26/P$12)</f>
        <v>1.4040728962517393</v>
      </c>
      <c r="S26" s="23"/>
      <c r="T26" s="23" cm="1">
        <f t="array" ref="T26">SUM(OSRRefT22x_0)</f>
        <v>2079262.8942659535</v>
      </c>
      <c r="U26" s="23"/>
      <c r="V26" s="31">
        <f t="shared" ref="V26:V57" si="9">IF(T$12=0,0,T26/T$12)</f>
        <v>1.0132366328473044</v>
      </c>
      <c r="W26" s="5"/>
      <c r="X26" s="23">
        <f t="shared" ref="X26:X57" si="10">+P26-T26</f>
        <v>40157.945734046865</v>
      </c>
      <c r="Y26" s="5"/>
      <c r="Z26" s="31">
        <f t="shared" ref="Z26:Z57" si="11">IF(T26=0,0,X26/T26)</f>
        <v>1.931354897198986E-2</v>
      </c>
    </row>
    <row r="27" spans="1:26" s="69" customFormat="1" ht="15" customHeight="1" outlineLevel="1" collapsed="1" x14ac:dyDescent="0.25">
      <c r="A27" s="26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26418.85</v>
      </c>
      <c r="E27" s="2"/>
      <c r="F27" s="6">
        <f t="shared" si="4"/>
        <v>0.22210395405123226</v>
      </c>
      <c r="G27" s="2"/>
      <c r="H27" s="2">
        <f>SUM(OSRRefH22_0x_0)</f>
        <v>30458.518384012619</v>
      </c>
      <c r="I27" s="2"/>
      <c r="J27" s="6">
        <f t="shared" si="5"/>
        <v>0.12385740815568169</v>
      </c>
      <c r="K27" s="2"/>
      <c r="L27" s="2">
        <f t="shared" si="6"/>
        <v>-4039.6683840126207</v>
      </c>
      <c r="M27" s="2"/>
      <c r="N27" s="6">
        <f t="shared" si="7"/>
        <v>-0.13262852555996299</v>
      </c>
      <c r="O27" s="14"/>
      <c r="P27" s="2">
        <f>SUM(OSRRefP22_0x_0)</f>
        <v>335921.37999999995</v>
      </c>
      <c r="Q27" s="2"/>
      <c r="R27" s="6">
        <f t="shared" si="8"/>
        <v>0.22254103386540305</v>
      </c>
      <c r="S27" s="2"/>
      <c r="T27" s="2">
        <f>SUM(OSRRefT22_0x_0)</f>
        <v>324877.15806595347</v>
      </c>
      <c r="U27" s="2"/>
      <c r="V27" s="6">
        <f t="shared" si="9"/>
        <v>0.15831448665559839</v>
      </c>
      <c r="W27" s="2"/>
      <c r="X27" s="2">
        <f t="shared" si="10"/>
        <v>11044.22193404648</v>
      </c>
      <c r="Y27" s="2"/>
      <c r="Z27" s="6">
        <f t="shared" si="11"/>
        <v>3.3995070628524728E-2</v>
      </c>
    </row>
    <row r="28" spans="1:26" s="70" customFormat="1" ht="15" hidden="1" customHeight="1" outlineLevel="2" x14ac:dyDescent="0.25">
      <c r="A28" s="25"/>
      <c r="B28" s="12" t="str">
        <f>CONCATENATE("          ","6111"," - ","F.I.C.A.")</f>
        <v xml:space="preserve">          6111 - F.I.C.A.</v>
      </c>
      <c r="C28" s="12"/>
      <c r="D28" s="8">
        <v>4436.96</v>
      </c>
      <c r="E28" s="3"/>
      <c r="F28" s="7">
        <f t="shared" si="4"/>
        <v>3.7301637276685229E-2</v>
      </c>
      <c r="G28" s="3"/>
      <c r="H28" s="8">
        <v>3835.1649550126099</v>
      </c>
      <c r="I28" s="3"/>
      <c r="J28" s="7">
        <f t="shared" si="5"/>
        <v>1.5595426710798036E-2</v>
      </c>
      <c r="K28" s="3"/>
      <c r="L28" s="8">
        <f t="shared" si="6"/>
        <v>601.79504498739016</v>
      </c>
      <c r="M28" s="3"/>
      <c r="N28" s="7">
        <f t="shared" si="7"/>
        <v>0.15691503547998276</v>
      </c>
      <c r="O28" s="12"/>
      <c r="P28" s="8">
        <v>51477.58</v>
      </c>
      <c r="Q28" s="3"/>
      <c r="R28" s="7">
        <f t="shared" si="8"/>
        <v>3.4102842379633583E-2</v>
      </c>
      <c r="S28" s="3"/>
      <c r="T28" s="8">
        <v>41654.708439415401</v>
      </c>
      <c r="U28" s="3"/>
      <c r="V28" s="7">
        <f t="shared" si="9"/>
        <v>2.0298576306912626E-2</v>
      </c>
      <c r="W28" s="3"/>
      <c r="X28" s="8">
        <f t="shared" si="10"/>
        <v>9822.871560584601</v>
      </c>
      <c r="Y28" s="3"/>
      <c r="Z28" s="7">
        <f t="shared" si="11"/>
        <v>0.23581659621676274</v>
      </c>
    </row>
    <row r="29" spans="1:26" s="70" customFormat="1" ht="15" hidden="1" customHeight="1" outlineLevel="2" x14ac:dyDescent="0.25">
      <c r="A29" s="25"/>
      <c r="B29" s="12" t="str">
        <f>CONCATENATE("          ","6112"," - ","COMPENSATION INSURANCE")</f>
        <v xml:space="preserve">          6112 - COMPENSATION INSURANCE</v>
      </c>
      <c r="C29" s="12"/>
      <c r="D29" s="8">
        <v>3944.28</v>
      </c>
      <c r="E29" s="3"/>
      <c r="F29" s="7">
        <f t="shared" si="4"/>
        <v>3.315966379631189E-2</v>
      </c>
      <c r="G29" s="3"/>
      <c r="H29" s="8">
        <v>3111.1263118669199</v>
      </c>
      <c r="I29" s="3"/>
      <c r="J29" s="7">
        <f t="shared" si="5"/>
        <v>1.2651174839648172E-2</v>
      </c>
      <c r="K29" s="3"/>
      <c r="L29" s="8">
        <f t="shared" si="6"/>
        <v>833.15368813308032</v>
      </c>
      <c r="M29" s="3"/>
      <c r="N29" s="7">
        <f t="shared" si="7"/>
        <v>0.26779809130704268</v>
      </c>
      <c r="O29" s="12"/>
      <c r="P29" s="8">
        <v>25829.86</v>
      </c>
      <c r="Q29" s="3"/>
      <c r="R29" s="7">
        <f t="shared" si="8"/>
        <v>1.7111753199509423E-2</v>
      </c>
      <c r="S29" s="3"/>
      <c r="T29" s="8">
        <v>32307.606645673099</v>
      </c>
      <c r="U29" s="3"/>
      <c r="V29" s="7">
        <f t="shared" si="9"/>
        <v>1.5743680447187321E-2</v>
      </c>
      <c r="W29" s="3"/>
      <c r="X29" s="8">
        <f t="shared" si="10"/>
        <v>-6477.7466456730981</v>
      </c>
      <c r="Y29" s="3"/>
      <c r="Z29" s="7">
        <f t="shared" si="11"/>
        <v>-0.20050221351016267</v>
      </c>
    </row>
    <row r="30" spans="1:26" s="70" customFormat="1" ht="15" hidden="1" customHeight="1" outlineLevel="2" x14ac:dyDescent="0.25">
      <c r="A30" s="25"/>
      <c r="B30" s="12" t="str">
        <f>CONCATENATE("          ","6113"," - ","GROUP INSURANCE")</f>
        <v xml:space="preserve">          6113 - GROUP INSURANCE</v>
      </c>
      <c r="C30" s="12"/>
      <c r="D30" s="8">
        <v>10058.31</v>
      </c>
      <c r="E30" s="3"/>
      <c r="F30" s="7">
        <f t="shared" si="4"/>
        <v>8.4560471862819536E-2</v>
      </c>
      <c r="G30" s="3"/>
      <c r="H30" s="8">
        <v>14576.723076923099</v>
      </c>
      <c r="I30" s="3"/>
      <c r="J30" s="7">
        <f t="shared" si="5"/>
        <v>5.9275212173762991E-2</v>
      </c>
      <c r="K30" s="3"/>
      <c r="L30" s="8">
        <f t="shared" si="6"/>
        <v>-4518.4130769230997</v>
      </c>
      <c r="M30" s="3"/>
      <c r="N30" s="7">
        <f t="shared" si="7"/>
        <v>-0.3099745431863456</v>
      </c>
      <c r="O30" s="12"/>
      <c r="P30" s="8">
        <v>130689.62</v>
      </c>
      <c r="Q30" s="3"/>
      <c r="R30" s="7">
        <f t="shared" si="8"/>
        <v>8.6579196448516194E-2</v>
      </c>
      <c r="S30" s="3"/>
      <c r="T30" s="8">
        <v>151843.76538461499</v>
      </c>
      <c r="U30" s="3"/>
      <c r="V30" s="7">
        <f t="shared" si="9"/>
        <v>7.3994330385758492E-2</v>
      </c>
      <c r="W30" s="3"/>
      <c r="X30" s="8">
        <f t="shared" si="10"/>
        <v>-21154.145384614996</v>
      </c>
      <c r="Y30" s="3"/>
      <c r="Z30" s="7">
        <f t="shared" si="11"/>
        <v>-0.13931520554059154</v>
      </c>
    </row>
    <row r="31" spans="1:26" s="70" customFormat="1" ht="15" hidden="1" customHeight="1" outlineLevel="2" x14ac:dyDescent="0.25">
      <c r="A31" s="25"/>
      <c r="B31" s="12" t="str">
        <f>CONCATENATE("          ","6114"," - ","STATE UNEMPLOYMENT INSURANCE")</f>
        <v xml:space="preserve">          6114 - STATE UNEMPLOYMENT INSURANCE</v>
      </c>
      <c r="C31" s="12"/>
      <c r="D31" s="8">
        <v>330.18</v>
      </c>
      <c r="E31" s="3"/>
      <c r="F31" s="7">
        <f t="shared" si="4"/>
        <v>2.7758317848292362E-3</v>
      </c>
      <c r="G31" s="3"/>
      <c r="H31" s="8">
        <v>172.38430751769201</v>
      </c>
      <c r="I31" s="3"/>
      <c r="J31" s="7">
        <f t="shared" si="5"/>
        <v>7.0098857950557107E-4</v>
      </c>
      <c r="K31" s="3"/>
      <c r="L31" s="8">
        <f t="shared" si="6"/>
        <v>157.795692482308</v>
      </c>
      <c r="M31" s="3"/>
      <c r="N31" s="7">
        <f t="shared" si="7"/>
        <v>0.9153715599438379</v>
      </c>
      <c r="O31" s="12"/>
      <c r="P31" s="8">
        <v>2222.9</v>
      </c>
      <c r="Q31" s="3"/>
      <c r="R31" s="7">
        <f t="shared" si="8"/>
        <v>1.4726257202783714E-3</v>
      </c>
      <c r="S31" s="3"/>
      <c r="T31" s="8">
        <v>1790.1312389423099</v>
      </c>
      <c r="U31" s="3"/>
      <c r="V31" s="7">
        <f t="shared" si="9"/>
        <v>8.7234113295760923E-4</v>
      </c>
      <c r="W31" s="3"/>
      <c r="X31" s="8">
        <f t="shared" si="10"/>
        <v>432.7687610576902</v>
      </c>
      <c r="Y31" s="3"/>
      <c r="Z31" s="7">
        <f t="shared" si="11"/>
        <v>0.24175253279943287</v>
      </c>
    </row>
    <row r="32" spans="1:26" s="70" customFormat="1" ht="15" hidden="1" customHeight="1" outlineLevel="2" x14ac:dyDescent="0.25">
      <c r="A32" s="25"/>
      <c r="B32" s="12" t="str">
        <f>CONCATENATE("          ","6115"," - ","P.E.R.S.")</f>
        <v xml:space="preserve">          6115 - P.E.R.S.</v>
      </c>
      <c r="C32" s="12"/>
      <c r="D32" s="8">
        <v>2331.96</v>
      </c>
      <c r="E32" s="3"/>
      <c r="F32" s="7">
        <f t="shared" si="4"/>
        <v>1.9604847928252424E-2</v>
      </c>
      <c r="G32" s="3"/>
      <c r="H32" s="8">
        <v>2801.24234307692</v>
      </c>
      <c r="I32" s="3"/>
      <c r="J32" s="7">
        <f t="shared" si="5"/>
        <v>1.1391053624314482E-2</v>
      </c>
      <c r="K32" s="3"/>
      <c r="L32" s="8">
        <f t="shared" si="6"/>
        <v>-469.28234307691991</v>
      </c>
      <c r="M32" s="3"/>
      <c r="N32" s="7">
        <f t="shared" si="7"/>
        <v>-0.1675265063148568</v>
      </c>
      <c r="O32" s="12"/>
      <c r="P32" s="8">
        <v>37199.53</v>
      </c>
      <c r="Q32" s="3"/>
      <c r="R32" s="7">
        <f t="shared" si="8"/>
        <v>2.4643926699476758E-2</v>
      </c>
      <c r="S32" s="3"/>
      <c r="T32" s="8">
        <v>30674.120916923101</v>
      </c>
      <c r="U32" s="3"/>
      <c r="V32" s="7">
        <f t="shared" si="9"/>
        <v>1.4947673562167097E-2</v>
      </c>
      <c r="W32" s="3"/>
      <c r="X32" s="8">
        <f t="shared" si="10"/>
        <v>6525.4090830768982</v>
      </c>
      <c r="Y32" s="3"/>
      <c r="Z32" s="7">
        <f t="shared" si="11"/>
        <v>0.21273336897739065</v>
      </c>
    </row>
    <row r="33" spans="1:26" s="70" customFormat="1" ht="15" hidden="1" customHeight="1" outlineLevel="2" x14ac:dyDescent="0.25">
      <c r="A33" s="25"/>
      <c r="B33" s="12" t="str">
        <f>CONCATENATE("          ","6116"," - ","EDUCATIONAL BENEFITS")</f>
        <v xml:space="preserve">          6116 - EDUCATIONAL BENEFITS</v>
      </c>
      <c r="C33" s="12"/>
      <c r="D33" s="8"/>
      <c r="E33" s="3"/>
      <c r="F33" s="7">
        <f t="shared" si="4"/>
        <v>0</v>
      </c>
      <c r="G33" s="3"/>
      <c r="H33" s="8">
        <v>0</v>
      </c>
      <c r="I33" s="3"/>
      <c r="J33" s="7">
        <f t="shared" si="5"/>
        <v>0</v>
      </c>
      <c r="K33" s="3"/>
      <c r="L33" s="8">
        <f t="shared" si="6"/>
        <v>0</v>
      </c>
      <c r="M33" s="3"/>
      <c r="N33" s="7">
        <f t="shared" si="7"/>
        <v>0</v>
      </c>
      <c r="O33" s="12"/>
      <c r="P33" s="8"/>
      <c r="Q33" s="3"/>
      <c r="R33" s="7">
        <f t="shared" si="8"/>
        <v>0</v>
      </c>
      <c r="S33" s="3"/>
      <c r="T33" s="8">
        <v>0</v>
      </c>
      <c r="U33" s="3"/>
      <c r="V33" s="7">
        <f t="shared" si="9"/>
        <v>0</v>
      </c>
      <c r="W33" s="3"/>
      <c r="X33" s="8">
        <f t="shared" si="10"/>
        <v>0</v>
      </c>
      <c r="Y33" s="3"/>
      <c r="Z33" s="7">
        <f t="shared" si="11"/>
        <v>0</v>
      </c>
    </row>
    <row r="34" spans="1:26" s="70" customFormat="1" ht="15" hidden="1" customHeight="1" outlineLevel="2" x14ac:dyDescent="0.25">
      <c r="A34" s="25"/>
      <c r="B34" s="12" t="str">
        <f>CONCATENATE("          ","6117"," - ","RETIREMENT STAFF HOURLY")</f>
        <v xml:space="preserve">          6117 - RETIREMENT STAFF HOURLY</v>
      </c>
      <c r="C34" s="12"/>
      <c r="D34" s="8">
        <v>89.33</v>
      </c>
      <c r="E34" s="3"/>
      <c r="F34" s="7">
        <f t="shared" si="4"/>
        <v>7.5099961638741195E-4</v>
      </c>
      <c r="G34" s="3"/>
      <c r="H34" s="8"/>
      <c r="I34" s="3"/>
      <c r="J34" s="7">
        <f t="shared" si="5"/>
        <v>0</v>
      </c>
      <c r="K34" s="3"/>
      <c r="L34" s="8">
        <f t="shared" si="6"/>
        <v>89.33</v>
      </c>
      <c r="M34" s="3"/>
      <c r="N34" s="7">
        <f t="shared" si="7"/>
        <v>0</v>
      </c>
      <c r="O34" s="12"/>
      <c r="P34" s="8">
        <v>282.25</v>
      </c>
      <c r="Q34" s="3"/>
      <c r="R34" s="7">
        <f t="shared" si="8"/>
        <v>1.8698484391946121E-4</v>
      </c>
      <c r="S34" s="3"/>
      <c r="T34" s="8"/>
      <c r="U34" s="3"/>
      <c r="V34" s="7">
        <f t="shared" si="9"/>
        <v>0</v>
      </c>
      <c r="W34" s="3"/>
      <c r="X34" s="8">
        <f t="shared" si="10"/>
        <v>282.25</v>
      </c>
      <c r="Y34" s="3"/>
      <c r="Z34" s="7">
        <f t="shared" si="11"/>
        <v>0</v>
      </c>
    </row>
    <row r="35" spans="1:26" s="70" customFormat="1" ht="15" hidden="1" customHeight="1" outlineLevel="2" x14ac:dyDescent="0.25">
      <c r="A35" s="25"/>
      <c r="B35" s="12" t="str">
        <f>CONCATENATE("          ","6118"," - ","VACATION")</f>
        <v xml:space="preserve">          6118 - VACATION</v>
      </c>
      <c r="C35" s="12"/>
      <c r="D35" s="8">
        <v>2338.2800000000002</v>
      </c>
      <c r="E35" s="3"/>
      <c r="F35" s="7">
        <f t="shared" si="4"/>
        <v>1.9657980331426819E-2</v>
      </c>
      <c r="G35" s="3"/>
      <c r="H35" s="8">
        <v>2452.1257203076898</v>
      </c>
      <c r="I35" s="3"/>
      <c r="J35" s="7">
        <f t="shared" si="5"/>
        <v>9.9713955997482468E-3</v>
      </c>
      <c r="K35" s="3"/>
      <c r="L35" s="8">
        <f t="shared" si="6"/>
        <v>-113.84572030768959</v>
      </c>
      <c r="M35" s="3"/>
      <c r="N35" s="7">
        <f t="shared" si="7"/>
        <v>-4.6427358664711676E-2</v>
      </c>
      <c r="O35" s="12"/>
      <c r="P35" s="8">
        <v>38451.919999999998</v>
      </c>
      <c r="Q35" s="3"/>
      <c r="R35" s="7">
        <f t="shared" si="8"/>
        <v>2.5473609422864866E-2</v>
      </c>
      <c r="S35" s="3"/>
      <c r="T35" s="8">
        <v>27940.034307692302</v>
      </c>
      <c r="U35" s="3"/>
      <c r="V35" s="7">
        <f t="shared" si="9"/>
        <v>1.3615337609128357E-2</v>
      </c>
      <c r="W35" s="3"/>
      <c r="X35" s="8">
        <f t="shared" si="10"/>
        <v>10511.885692307696</v>
      </c>
      <c r="Y35" s="3"/>
      <c r="Z35" s="7">
        <f t="shared" si="11"/>
        <v>0.37623023567346231</v>
      </c>
    </row>
    <row r="36" spans="1:26" s="70" customFormat="1" ht="15" hidden="1" customHeight="1" outlineLevel="2" x14ac:dyDescent="0.25">
      <c r="A36" s="25"/>
      <c r="B36" s="12" t="str">
        <f>CONCATENATE("          ","6119"," - ","SICK LEAVE")</f>
        <v xml:space="preserve">          6119 - SICK LEAVE</v>
      </c>
      <c r="C36" s="12"/>
      <c r="D36" s="8">
        <v>1652.98</v>
      </c>
      <c r="E36" s="3"/>
      <c r="F36" s="7">
        <f t="shared" si="4"/>
        <v>1.3896645537849146E-2</v>
      </c>
      <c r="G36" s="3"/>
      <c r="H36" s="8">
        <v>1548.75166930769</v>
      </c>
      <c r="I36" s="3"/>
      <c r="J36" s="7">
        <f t="shared" si="5"/>
        <v>6.2978889918008183E-3</v>
      </c>
      <c r="K36" s="3"/>
      <c r="L36" s="8">
        <f t="shared" si="6"/>
        <v>104.22833069231001</v>
      </c>
      <c r="M36" s="3"/>
      <c r="N36" s="7">
        <f t="shared" si="7"/>
        <v>6.7298284649404946E-2</v>
      </c>
      <c r="O36" s="12"/>
      <c r="P36" s="8">
        <v>32699.68</v>
      </c>
      <c r="Q36" s="3"/>
      <c r="R36" s="7">
        <f t="shared" si="8"/>
        <v>2.1662868240979016E-2</v>
      </c>
      <c r="S36" s="3"/>
      <c r="T36" s="8">
        <v>15935.7911326923</v>
      </c>
      <c r="U36" s="3"/>
      <c r="V36" s="7">
        <f t="shared" si="9"/>
        <v>7.7656016435321377E-3</v>
      </c>
      <c r="W36" s="3"/>
      <c r="X36" s="8">
        <f t="shared" si="10"/>
        <v>16763.888867307702</v>
      </c>
      <c r="Y36" s="3"/>
      <c r="Z36" s="7">
        <f t="shared" si="11"/>
        <v>1.0519646453520941</v>
      </c>
    </row>
    <row r="37" spans="1:26" s="70" customFormat="1" ht="15" hidden="1" customHeight="1" outlineLevel="2" x14ac:dyDescent="0.25">
      <c r="A37" s="25"/>
      <c r="B37" s="12" t="str">
        <f>CONCATENATE("          ","6156"," - ","EMPLOYEE MEALS")</f>
        <v xml:space="preserve">          6156 - EMPLOYEE MEALS</v>
      </c>
      <c r="C37" s="12"/>
      <c r="D37" s="8">
        <v>1236.57</v>
      </c>
      <c r="E37" s="3"/>
      <c r="F37" s="7">
        <f t="shared" si="4"/>
        <v>1.039587591667057E-2</v>
      </c>
      <c r="G37" s="3"/>
      <c r="H37" s="8">
        <v>1961</v>
      </c>
      <c r="I37" s="3"/>
      <c r="J37" s="7">
        <f t="shared" si="5"/>
        <v>7.9742676361033854E-3</v>
      </c>
      <c r="K37" s="3"/>
      <c r="L37" s="8">
        <f t="shared" si="6"/>
        <v>-724.43000000000006</v>
      </c>
      <c r="M37" s="3"/>
      <c r="N37" s="7">
        <f t="shared" si="7"/>
        <v>-0.36941866394696588</v>
      </c>
      <c r="O37" s="12"/>
      <c r="P37" s="8">
        <v>17068.04</v>
      </c>
      <c r="Q37" s="3"/>
      <c r="R37" s="7">
        <f t="shared" si="8"/>
        <v>1.1307226910225406E-2</v>
      </c>
      <c r="S37" s="3"/>
      <c r="T37" s="8">
        <v>22731</v>
      </c>
      <c r="U37" s="3"/>
      <c r="V37" s="7">
        <f t="shared" si="9"/>
        <v>1.1076945567954778E-2</v>
      </c>
      <c r="W37" s="3"/>
      <c r="X37" s="8">
        <f t="shared" si="10"/>
        <v>-5662.9599999999991</v>
      </c>
      <c r="Y37" s="3"/>
      <c r="Z37" s="7">
        <f t="shared" si="11"/>
        <v>-0.24912938278122385</v>
      </c>
    </row>
    <row r="38" spans="1:26" s="69" customFormat="1" ht="15" customHeight="1" outlineLevel="1" collapsed="1" x14ac:dyDescent="0.25">
      <c r="A38" s="26"/>
      <c r="B38" s="14" t="str">
        <f>CONCATENATE("     ","*Payroll                                          ")</f>
        <v xml:space="preserve">     *Payroll                                          </v>
      </c>
      <c r="C38" s="14"/>
      <c r="D38" s="2">
        <f>SUM(OSRRefD22_1x_0)</f>
        <v>65018.33</v>
      </c>
      <c r="E38" s="2"/>
      <c r="F38" s="6">
        <f t="shared" si="4"/>
        <v>0.54661077900089738</v>
      </c>
      <c r="G38" s="2"/>
      <c r="H38" s="2">
        <f>SUM(OSRRefH22_1x_0)</f>
        <v>78206.977019999991</v>
      </c>
      <c r="I38" s="2"/>
      <c r="J38" s="6">
        <f t="shared" si="5"/>
        <v>0.31802313399697452</v>
      </c>
      <c r="K38" s="2"/>
      <c r="L38" s="2">
        <f t="shared" si="6"/>
        <v>-13188.647019999989</v>
      </c>
      <c r="M38" s="2"/>
      <c r="N38" s="6">
        <f t="shared" si="7"/>
        <v>-0.16863772929910378</v>
      </c>
      <c r="O38" s="14"/>
      <c r="P38" s="2">
        <f>SUM(OSRRefP22_1x_0)</f>
        <v>802462.7300000001</v>
      </c>
      <c r="Q38" s="2"/>
      <c r="R38" s="6">
        <f t="shared" si="8"/>
        <v>0.53161512248090259</v>
      </c>
      <c r="S38" s="2"/>
      <c r="T38" s="2">
        <f>SUM(OSRRefT22_1x_0)</f>
        <v>809591.73620000004</v>
      </c>
      <c r="U38" s="2"/>
      <c r="V38" s="6">
        <f t="shared" si="9"/>
        <v>0.39451865708298817</v>
      </c>
      <c r="W38" s="2"/>
      <c r="X38" s="2">
        <f t="shared" si="10"/>
        <v>-7129.0061999999452</v>
      </c>
      <c r="Y38" s="2"/>
      <c r="Z38" s="6">
        <f t="shared" si="11"/>
        <v>-8.8056805439511165E-3</v>
      </c>
    </row>
    <row r="39" spans="1:26" s="70" customFormat="1" ht="15" hidden="1" customHeight="1" outlineLevel="2" x14ac:dyDescent="0.25">
      <c r="A39" s="25"/>
      <c r="B39" s="12" t="str">
        <f>CONCATENATE("          ","6001"," - ","ADMINISTRATIVE SALARIES")</f>
        <v xml:space="preserve">          6001 - ADMINISTRATIVE SALARIES</v>
      </c>
      <c r="C39" s="12"/>
      <c r="D39" s="8">
        <v>10360.85</v>
      </c>
      <c r="E39" s="3"/>
      <c r="F39" s="7">
        <f t="shared" si="4"/>
        <v>8.7103933454018997E-2</v>
      </c>
      <c r="G39" s="3"/>
      <c r="H39" s="8">
        <v>10268.307692307701</v>
      </c>
      <c r="I39" s="3"/>
      <c r="J39" s="7">
        <f t="shared" si="5"/>
        <v>4.1755346103172226E-2</v>
      </c>
      <c r="K39" s="3"/>
      <c r="L39" s="8">
        <f t="shared" si="6"/>
        <v>92.542307692299801</v>
      </c>
      <c r="M39" s="3"/>
      <c r="N39" s="7">
        <f t="shared" si="7"/>
        <v>9.0124205921123732E-3</v>
      </c>
      <c r="O39" s="12"/>
      <c r="P39" s="8">
        <v>123156.88</v>
      </c>
      <c r="Q39" s="3"/>
      <c r="R39" s="7">
        <f t="shared" si="8"/>
        <v>8.1588910485058688E-2</v>
      </c>
      <c r="S39" s="3"/>
      <c r="T39" s="8">
        <v>123219.69230769201</v>
      </c>
      <c r="U39" s="3"/>
      <c r="V39" s="7">
        <f t="shared" si="9"/>
        <v>6.0045656794353107E-2</v>
      </c>
      <c r="W39" s="3"/>
      <c r="X39" s="8">
        <f t="shared" si="10"/>
        <v>-62.812307692001923</v>
      </c>
      <c r="Y39" s="3"/>
      <c r="Z39" s="7">
        <f t="shared" si="11"/>
        <v>-5.0975867992879948E-4</v>
      </c>
    </row>
    <row r="40" spans="1:26" s="70" customFormat="1" ht="15" hidden="1" customHeight="1" outlineLevel="2" x14ac:dyDescent="0.25">
      <c r="A40" s="25"/>
      <c r="B40" s="12" t="str">
        <f>CONCATENATE("          ","6002"," - ","STAFF SALARIES")</f>
        <v xml:space="preserve">          6002 - STAFF SALARIES</v>
      </c>
      <c r="C40" s="12"/>
      <c r="D40" s="8">
        <v>12984.31</v>
      </c>
      <c r="E40" s="3"/>
      <c r="F40" s="7">
        <f t="shared" si="4"/>
        <v>0.10915942940843207</v>
      </c>
      <c r="G40" s="3"/>
      <c r="H40" s="8">
        <v>19788.263807692299</v>
      </c>
      <c r="I40" s="3"/>
      <c r="J40" s="7">
        <f t="shared" si="5"/>
        <v>8.0467573511655607E-2</v>
      </c>
      <c r="K40" s="3"/>
      <c r="L40" s="8">
        <f t="shared" si="6"/>
        <v>-6803.9538076923</v>
      </c>
      <c r="M40" s="3"/>
      <c r="N40" s="7">
        <f t="shared" si="7"/>
        <v>-0.34383783609390717</v>
      </c>
      <c r="O40" s="12"/>
      <c r="P40" s="8">
        <v>239867.28</v>
      </c>
      <c r="Q40" s="3"/>
      <c r="R40" s="7">
        <f t="shared" si="8"/>
        <v>0.15890716000774385</v>
      </c>
      <c r="S40" s="3"/>
      <c r="T40" s="8">
        <v>204973.72569230801</v>
      </c>
      <c r="U40" s="3"/>
      <c r="V40" s="7">
        <f t="shared" si="9"/>
        <v>9.9884862186203405E-2</v>
      </c>
      <c r="W40" s="3"/>
      <c r="X40" s="8">
        <f t="shared" si="10"/>
        <v>34893.554307691986</v>
      </c>
      <c r="Y40" s="3"/>
      <c r="Z40" s="7">
        <f t="shared" si="11"/>
        <v>0.1702342785146605</v>
      </c>
    </row>
    <row r="41" spans="1:26" s="70" customFormat="1" ht="15" hidden="1" customHeight="1" outlineLevel="2" x14ac:dyDescent="0.25">
      <c r="A41" s="25"/>
      <c r="B41" s="12" t="str">
        <f>CONCATENATE("          ","6003"," - ","STAFF HOURLY-9 MONTH")</f>
        <v xml:space="preserve">          6003 - STAFF HOURLY-9 MONTH</v>
      </c>
      <c r="C41" s="12"/>
      <c r="D41" s="8"/>
      <c r="E41" s="3"/>
      <c r="F41" s="7">
        <f t="shared" si="4"/>
        <v>0</v>
      </c>
      <c r="G41" s="3"/>
      <c r="H41" s="8">
        <v>0</v>
      </c>
      <c r="I41" s="3"/>
      <c r="J41" s="7">
        <f t="shared" si="5"/>
        <v>0</v>
      </c>
      <c r="K41" s="3"/>
      <c r="L41" s="8">
        <f t="shared" si="6"/>
        <v>0</v>
      </c>
      <c r="M41" s="3"/>
      <c r="N41" s="7">
        <f t="shared" si="7"/>
        <v>0</v>
      </c>
      <c r="O41" s="12"/>
      <c r="P41" s="8"/>
      <c r="Q41" s="3"/>
      <c r="R41" s="7">
        <f t="shared" si="8"/>
        <v>0</v>
      </c>
      <c r="S41" s="3"/>
      <c r="T41" s="8">
        <v>0</v>
      </c>
      <c r="U41" s="3"/>
      <c r="V41" s="7">
        <f t="shared" si="9"/>
        <v>0</v>
      </c>
      <c r="W41" s="3"/>
      <c r="X41" s="8">
        <f t="shared" si="10"/>
        <v>0</v>
      </c>
      <c r="Y41" s="3"/>
      <c r="Z41" s="7">
        <f t="shared" si="11"/>
        <v>0</v>
      </c>
    </row>
    <row r="42" spans="1:26" s="70" customFormat="1" ht="15" hidden="1" customHeight="1" outlineLevel="2" x14ac:dyDescent="0.25">
      <c r="A42" s="25"/>
      <c r="B42" s="12" t="str">
        <f>CONCATENATE("          ","6004"," - ","STAFF HOURLY")</f>
        <v xml:space="preserve">          6004 - STAFF HOURLY</v>
      </c>
      <c r="C42" s="12"/>
      <c r="D42" s="8">
        <v>6565.95</v>
      </c>
      <c r="E42" s="3"/>
      <c r="F42" s="7">
        <f t="shared" si="4"/>
        <v>5.5200111174509431E-2</v>
      </c>
      <c r="G42" s="3"/>
      <c r="H42" s="8">
        <v>15002.83272</v>
      </c>
      <c r="I42" s="3"/>
      <c r="J42" s="7">
        <f t="shared" si="5"/>
        <v>6.1007956863319182E-2</v>
      </c>
      <c r="K42" s="3"/>
      <c r="L42" s="8">
        <f t="shared" si="6"/>
        <v>-8436.8827200000014</v>
      </c>
      <c r="M42" s="3"/>
      <c r="N42" s="7">
        <f t="shared" si="7"/>
        <v>-0.56235264882697444</v>
      </c>
      <c r="O42" s="12"/>
      <c r="P42" s="8">
        <v>117053.87</v>
      </c>
      <c r="Q42" s="3"/>
      <c r="R42" s="7">
        <f t="shared" si="8"/>
        <v>7.7545791362688757E-2</v>
      </c>
      <c r="S42" s="3"/>
      <c r="T42" s="8">
        <v>161762.41200000001</v>
      </c>
      <c r="U42" s="3"/>
      <c r="V42" s="7">
        <f t="shared" si="9"/>
        <v>7.8827743287364166E-2</v>
      </c>
      <c r="W42" s="3"/>
      <c r="X42" s="8">
        <f t="shared" si="10"/>
        <v>-44708.542000000016</v>
      </c>
      <c r="Y42" s="3"/>
      <c r="Z42" s="7">
        <f t="shared" si="11"/>
        <v>-0.27638399704376326</v>
      </c>
    </row>
    <row r="43" spans="1:26" s="70" customFormat="1" ht="15" hidden="1" customHeight="1" outlineLevel="2" x14ac:dyDescent="0.25">
      <c r="A43" s="25"/>
      <c r="B43" s="12" t="str">
        <f>CONCATENATE("          ","6005"," - ","TEMPORARY WAGES-HOURLY")</f>
        <v xml:space="preserve">          6005 - TEMPORARY WAGES-HOURLY</v>
      </c>
      <c r="C43" s="12"/>
      <c r="D43" s="8">
        <v>12797.6</v>
      </c>
      <c r="E43" s="3"/>
      <c r="F43" s="7">
        <f t="shared" si="4"/>
        <v>0.10758975361781645</v>
      </c>
      <c r="G43" s="3"/>
      <c r="H43" s="8">
        <v>11265.885550000001</v>
      </c>
      <c r="I43" s="3"/>
      <c r="J43" s="7">
        <f t="shared" si="5"/>
        <v>4.5811925820198773E-2</v>
      </c>
      <c r="K43" s="3"/>
      <c r="L43" s="8">
        <f t="shared" si="6"/>
        <v>1531.7144499999995</v>
      </c>
      <c r="M43" s="3"/>
      <c r="N43" s="7">
        <f t="shared" si="7"/>
        <v>0.1359604128057203</v>
      </c>
      <c r="O43" s="12"/>
      <c r="P43" s="8">
        <v>131563.63</v>
      </c>
      <c r="Q43" s="3"/>
      <c r="R43" s="7">
        <f t="shared" si="8"/>
        <v>8.7158210171931788E-2</v>
      </c>
      <c r="S43" s="3"/>
      <c r="T43" s="8">
        <v>115004.7714</v>
      </c>
      <c r="U43" s="3"/>
      <c r="V43" s="7">
        <f t="shared" si="9"/>
        <v>5.604247911895132E-2</v>
      </c>
      <c r="W43" s="3"/>
      <c r="X43" s="8">
        <f t="shared" si="10"/>
        <v>16558.858600000007</v>
      </c>
      <c r="Y43" s="3"/>
      <c r="Z43" s="7">
        <f t="shared" si="11"/>
        <v>0.14398410081966398</v>
      </c>
    </row>
    <row r="44" spans="1:26" s="70" customFormat="1" ht="15" hidden="1" customHeight="1" outlineLevel="2" x14ac:dyDescent="0.25">
      <c r="A44" s="25"/>
      <c r="B44" s="12" t="str">
        <f>CONCATENATE("          ","6006"," - ","TEMPORARY PART TIME")</f>
        <v xml:space="preserve">          6006 - TEMPORARY PART TIME</v>
      </c>
      <c r="C44" s="12"/>
      <c r="D44" s="8"/>
      <c r="E44" s="3"/>
      <c r="F44" s="7">
        <f t="shared" si="4"/>
        <v>0</v>
      </c>
      <c r="G44" s="3"/>
      <c r="H44" s="8">
        <v>0</v>
      </c>
      <c r="I44" s="3"/>
      <c r="J44" s="7">
        <f t="shared" si="5"/>
        <v>0</v>
      </c>
      <c r="K44" s="3"/>
      <c r="L44" s="8">
        <f t="shared" si="6"/>
        <v>0</v>
      </c>
      <c r="M44" s="3"/>
      <c r="N44" s="7">
        <f t="shared" si="7"/>
        <v>0</v>
      </c>
      <c r="O44" s="12"/>
      <c r="P44" s="8"/>
      <c r="Q44" s="3"/>
      <c r="R44" s="7">
        <f t="shared" si="8"/>
        <v>0</v>
      </c>
      <c r="S44" s="3"/>
      <c r="T44" s="8">
        <v>0</v>
      </c>
      <c r="U44" s="3"/>
      <c r="V44" s="7">
        <f t="shared" si="9"/>
        <v>0</v>
      </c>
      <c r="W44" s="3"/>
      <c r="X44" s="8">
        <f t="shared" si="10"/>
        <v>0</v>
      </c>
      <c r="Y44" s="3"/>
      <c r="Z44" s="7">
        <f t="shared" si="11"/>
        <v>0</v>
      </c>
    </row>
    <row r="45" spans="1:26" s="70" customFormat="1" ht="15" hidden="1" customHeight="1" outlineLevel="2" x14ac:dyDescent="0.25">
      <c r="A45" s="25"/>
      <c r="B45" s="12" t="str">
        <f>CONCATENATE("          ","6007"," - ","STUDENT HOURLY")</f>
        <v xml:space="preserve">          6007 - STUDENT HOURLY</v>
      </c>
      <c r="C45" s="12"/>
      <c r="D45" s="8">
        <v>20097.18</v>
      </c>
      <c r="E45" s="3"/>
      <c r="F45" s="7">
        <f t="shared" si="4"/>
        <v>0.16895751114372293</v>
      </c>
      <c r="G45" s="3"/>
      <c r="H45" s="8">
        <v>1895.0555999999999</v>
      </c>
      <c r="I45" s="3"/>
      <c r="J45" s="7">
        <f t="shared" si="5"/>
        <v>7.7061094032108519E-3</v>
      </c>
      <c r="K45" s="3"/>
      <c r="L45" s="8">
        <f t="shared" si="6"/>
        <v>18202.124400000001</v>
      </c>
      <c r="M45" s="3"/>
      <c r="N45" s="7">
        <f t="shared" si="7"/>
        <v>9.6050608752587525</v>
      </c>
      <c r="O45" s="12"/>
      <c r="P45" s="8">
        <v>181551.7</v>
      </c>
      <c r="Q45" s="3"/>
      <c r="R45" s="7">
        <f t="shared" si="8"/>
        <v>0.12027428268489937</v>
      </c>
      <c r="S45" s="3"/>
      <c r="T45" s="8">
        <v>18888.098000000002</v>
      </c>
      <c r="U45" s="3"/>
      <c r="V45" s="7">
        <f t="shared" si="9"/>
        <v>9.2042775693192344E-3</v>
      </c>
      <c r="W45" s="3"/>
      <c r="X45" s="8">
        <f t="shared" si="10"/>
        <v>162663.60200000001</v>
      </c>
      <c r="Y45" s="3"/>
      <c r="Z45" s="7">
        <f t="shared" si="11"/>
        <v>8.611963046782158</v>
      </c>
    </row>
    <row r="46" spans="1:26" s="70" customFormat="1" ht="15" hidden="1" customHeight="1" outlineLevel="2" x14ac:dyDescent="0.25">
      <c r="A46" s="25"/>
      <c r="B46" s="12" t="str">
        <f>CONCATENATE("          ","6008"," - ","STUDENT HOURLY-FICA EXEMPT")</f>
        <v xml:space="preserve">          6008 - STUDENT HOURLY-FICA EXEMPT</v>
      </c>
      <c r="C46" s="12"/>
      <c r="D46" s="8">
        <v>2212.44</v>
      </c>
      <c r="E46" s="3"/>
      <c r="F46" s="7">
        <f t="shared" si="4"/>
        <v>1.8600040202397469E-2</v>
      </c>
      <c r="G46" s="3"/>
      <c r="H46" s="8">
        <v>19986.631649999999</v>
      </c>
      <c r="I46" s="3"/>
      <c r="J46" s="7">
        <f t="shared" si="5"/>
        <v>8.1274222295417947E-2</v>
      </c>
      <c r="K46" s="3"/>
      <c r="L46" s="8">
        <f t="shared" si="6"/>
        <v>-17774.191650000001</v>
      </c>
      <c r="M46" s="3"/>
      <c r="N46" s="7">
        <f t="shared" si="7"/>
        <v>-0.88930400886234384</v>
      </c>
      <c r="O46" s="12"/>
      <c r="P46" s="8">
        <v>9269.3700000000008</v>
      </c>
      <c r="Q46" s="3"/>
      <c r="R46" s="7">
        <f t="shared" si="8"/>
        <v>6.1407677685801111E-3</v>
      </c>
      <c r="S46" s="3"/>
      <c r="T46" s="8">
        <v>185743.0368</v>
      </c>
      <c r="U46" s="3"/>
      <c r="V46" s="7">
        <f t="shared" si="9"/>
        <v>9.0513638126796941E-2</v>
      </c>
      <c r="W46" s="3"/>
      <c r="X46" s="8">
        <f t="shared" si="10"/>
        <v>-176473.66680000001</v>
      </c>
      <c r="Y46" s="3"/>
      <c r="Z46" s="7">
        <f t="shared" si="11"/>
        <v>-0.95009573354838139</v>
      </c>
    </row>
    <row r="47" spans="1:26" s="70" customFormat="1" ht="15" hidden="1" customHeight="1" outlineLevel="2" x14ac:dyDescent="0.25">
      <c r="A47" s="25"/>
      <c r="B47" s="12" t="str">
        <f>CONCATENATE("          ","6009"," - ","TEMPORARY-SEASONAL")</f>
        <v xml:space="preserve">          6009 - TEMPORARY-SEASONAL</v>
      </c>
      <c r="C47" s="12"/>
      <c r="D47" s="8"/>
      <c r="E47" s="3"/>
      <c r="F47" s="7">
        <f t="shared" si="4"/>
        <v>0</v>
      </c>
      <c r="G47" s="3"/>
      <c r="H47" s="8">
        <v>0</v>
      </c>
      <c r="I47" s="3"/>
      <c r="J47" s="7">
        <f t="shared" si="5"/>
        <v>0</v>
      </c>
      <c r="K47" s="3"/>
      <c r="L47" s="8">
        <f t="shared" si="6"/>
        <v>0</v>
      </c>
      <c r="M47" s="3"/>
      <c r="N47" s="7">
        <f t="shared" si="7"/>
        <v>0</v>
      </c>
      <c r="O47" s="12"/>
      <c r="P47" s="8"/>
      <c r="Q47" s="3"/>
      <c r="R47" s="7">
        <f t="shared" si="8"/>
        <v>0</v>
      </c>
      <c r="S47" s="3"/>
      <c r="T47" s="8">
        <v>0</v>
      </c>
      <c r="U47" s="3"/>
      <c r="V47" s="7">
        <f t="shared" si="9"/>
        <v>0</v>
      </c>
      <c r="W47" s="3"/>
      <c r="X47" s="8">
        <f t="shared" si="10"/>
        <v>0</v>
      </c>
      <c r="Y47" s="3"/>
      <c r="Z47" s="7">
        <f t="shared" si="11"/>
        <v>0</v>
      </c>
    </row>
    <row r="48" spans="1:26" s="70" customFormat="1" ht="15" hidden="1" customHeight="1" outlineLevel="2" x14ac:dyDescent="0.25">
      <c r="A48" s="25"/>
      <c r="B48" s="12" t="str">
        <f>CONCATENATE("          ","6010"," - ","GRATUITY")</f>
        <v xml:space="preserve">          6010 - GRATUITY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69" customFormat="1" ht="15" customHeight="1" outlineLevel="1" collapsed="1" x14ac:dyDescent="0.25">
      <c r="A49" s="26"/>
      <c r="B49" s="14" t="str">
        <f>CONCATENATE("     ","Advertising/Promo                                 ")</f>
        <v xml:space="preserve">     Advertising/Promo                                 </v>
      </c>
      <c r="C49" s="14"/>
      <c r="D49" s="2">
        <f>SUM(OSRRefD22_2x_0)</f>
        <v>47.32</v>
      </c>
      <c r="E49" s="2"/>
      <c r="F49" s="6">
        <f t="shared" si="4"/>
        <v>3.9782046174244187E-4</v>
      </c>
      <c r="G49" s="2"/>
      <c r="H49" s="2">
        <f>SUM(OSRRefH22_2x_0)</f>
        <v>0</v>
      </c>
      <c r="I49" s="2"/>
      <c r="J49" s="6">
        <f t="shared" si="5"/>
        <v>0</v>
      </c>
      <c r="K49" s="2"/>
      <c r="L49" s="2">
        <f t="shared" si="6"/>
        <v>47.32</v>
      </c>
      <c r="M49" s="2"/>
      <c r="N49" s="6">
        <f t="shared" si="7"/>
        <v>0</v>
      </c>
      <c r="O49" s="14"/>
      <c r="P49" s="2">
        <f>SUM(OSRRefP22_2x_0)</f>
        <v>2191.59</v>
      </c>
      <c r="Q49" s="2"/>
      <c r="R49" s="6">
        <f t="shared" si="8"/>
        <v>1.4518834865737892E-3</v>
      </c>
      <c r="S49" s="2"/>
      <c r="T49" s="2">
        <f>SUM(OSRRefT22_2x_0)</f>
        <v>0</v>
      </c>
      <c r="U49" s="2"/>
      <c r="V49" s="6">
        <f t="shared" si="9"/>
        <v>0</v>
      </c>
      <c r="W49" s="2"/>
      <c r="X49" s="2">
        <f t="shared" si="10"/>
        <v>2191.59</v>
      </c>
      <c r="Y49" s="2"/>
      <c r="Z49" s="6">
        <f t="shared" si="11"/>
        <v>0</v>
      </c>
    </row>
    <row r="50" spans="1:26" s="70" customFormat="1" ht="15" hidden="1" customHeight="1" outlineLevel="2" x14ac:dyDescent="0.25">
      <c r="A50" s="25"/>
      <c r="B50" s="12" t="str">
        <f>CONCATENATE("          ","6362"," - ","ADVERTISING EXPENSE")</f>
        <v xml:space="preserve">          6362 - ADVERTISING EXPENSE</v>
      </c>
      <c r="C50" s="12"/>
      <c r="D50" s="8">
        <v>47.32</v>
      </c>
      <c r="E50" s="3"/>
      <c r="F50" s="7">
        <f t="shared" si="4"/>
        <v>3.9782046174244187E-4</v>
      </c>
      <c r="G50" s="3"/>
      <c r="H50" s="8"/>
      <c r="I50" s="3"/>
      <c r="J50" s="7">
        <f t="shared" si="5"/>
        <v>0</v>
      </c>
      <c r="K50" s="3"/>
      <c r="L50" s="8">
        <f t="shared" si="6"/>
        <v>47.32</v>
      </c>
      <c r="M50" s="3"/>
      <c r="N50" s="7">
        <f t="shared" si="7"/>
        <v>0</v>
      </c>
      <c r="O50" s="12"/>
      <c r="P50" s="8">
        <v>2191.59</v>
      </c>
      <c r="Q50" s="3"/>
      <c r="R50" s="7">
        <f t="shared" si="8"/>
        <v>1.4518834865737892E-3</v>
      </c>
      <c r="S50" s="3"/>
      <c r="T50" s="8"/>
      <c r="U50" s="3"/>
      <c r="V50" s="7">
        <f t="shared" si="9"/>
        <v>0</v>
      </c>
      <c r="W50" s="3"/>
      <c r="X50" s="8">
        <f t="shared" si="10"/>
        <v>2191.59</v>
      </c>
      <c r="Y50" s="3"/>
      <c r="Z50" s="7">
        <f t="shared" si="11"/>
        <v>0</v>
      </c>
    </row>
    <row r="51" spans="1:26" s="69" customFormat="1" ht="15" customHeight="1" outlineLevel="1" collapsed="1" x14ac:dyDescent="0.25">
      <c r="A51" s="26"/>
      <c r="B51" s="14" t="str">
        <f>CONCATENATE("     ","Bad Debts/Over/Short                              ")</f>
        <v xml:space="preserve">     Bad Debts/Over/Short                              </v>
      </c>
      <c r="C51" s="14"/>
      <c r="D51" s="2">
        <f>SUM(OSRRefD22_3x_0)</f>
        <v>0.51</v>
      </c>
      <c r="E51" s="2"/>
      <c r="F51" s="6">
        <f t="shared" si="4"/>
        <v>4.2875831675537908E-6</v>
      </c>
      <c r="G51" s="2"/>
      <c r="H51" s="2">
        <f>SUM(OSRRefH22_3x_0)</f>
        <v>0</v>
      </c>
      <c r="I51" s="2"/>
      <c r="J51" s="6">
        <f t="shared" si="5"/>
        <v>0</v>
      </c>
      <c r="K51" s="2"/>
      <c r="L51" s="2">
        <f t="shared" si="6"/>
        <v>0.51</v>
      </c>
      <c r="M51" s="2"/>
      <c r="N51" s="6">
        <f t="shared" si="7"/>
        <v>0</v>
      </c>
      <c r="O51" s="14"/>
      <c r="P51" s="2">
        <f>SUM(OSRRefP22_3x_0)</f>
        <v>-18.21</v>
      </c>
      <c r="Q51" s="2"/>
      <c r="R51" s="6">
        <f t="shared" si="8"/>
        <v>-1.2063752020454877E-5</v>
      </c>
      <c r="S51" s="2"/>
      <c r="T51" s="2">
        <f>SUM(OSRRefT22_3x_0)</f>
        <v>70</v>
      </c>
      <c r="U51" s="2"/>
      <c r="V51" s="6">
        <f t="shared" si="9"/>
        <v>3.4111398080015592E-5</v>
      </c>
      <c r="W51" s="2"/>
      <c r="X51" s="2">
        <f t="shared" si="10"/>
        <v>-88.210000000000008</v>
      </c>
      <c r="Y51" s="2"/>
      <c r="Z51" s="6">
        <f t="shared" si="11"/>
        <v>-1.2601428571428572</v>
      </c>
    </row>
    <row r="52" spans="1:26" s="70" customFormat="1" ht="15" hidden="1" customHeight="1" outlineLevel="2" x14ac:dyDescent="0.25">
      <c r="A52" s="25"/>
      <c r="B52" s="12" t="str">
        <f>CONCATENATE("          ","6272"," - ","CASH (OVER/SHORT)")</f>
        <v xml:space="preserve">          6272 - CASH (OVER/SHORT)</v>
      </c>
      <c r="C52" s="12"/>
      <c r="D52" s="8">
        <v>0.51</v>
      </c>
      <c r="E52" s="3"/>
      <c r="F52" s="7">
        <f t="shared" si="4"/>
        <v>4.2875831675537908E-6</v>
      </c>
      <c r="G52" s="3"/>
      <c r="H52" s="8"/>
      <c r="I52" s="3"/>
      <c r="J52" s="7">
        <f t="shared" si="5"/>
        <v>0</v>
      </c>
      <c r="K52" s="3"/>
      <c r="L52" s="8">
        <f t="shared" si="6"/>
        <v>0.51</v>
      </c>
      <c r="M52" s="3"/>
      <c r="N52" s="7">
        <f t="shared" si="7"/>
        <v>0</v>
      </c>
      <c r="O52" s="12"/>
      <c r="P52" s="8">
        <v>-18.21</v>
      </c>
      <c r="Q52" s="3"/>
      <c r="R52" s="7">
        <f t="shared" si="8"/>
        <v>-1.2063752020454877E-5</v>
      </c>
      <c r="S52" s="3"/>
      <c r="T52" s="8">
        <v>70</v>
      </c>
      <c r="U52" s="3"/>
      <c r="V52" s="7">
        <f t="shared" si="9"/>
        <v>3.4111398080015592E-5</v>
      </c>
      <c r="W52" s="3"/>
      <c r="X52" s="8">
        <f t="shared" si="10"/>
        <v>-88.210000000000008</v>
      </c>
      <c r="Y52" s="3"/>
      <c r="Z52" s="7">
        <f t="shared" si="11"/>
        <v>-1.2601428571428572</v>
      </c>
    </row>
    <row r="53" spans="1:26" s="69" customFormat="1" ht="15" customHeight="1" outlineLevel="1" collapsed="1" x14ac:dyDescent="0.25">
      <c r="A53" s="26"/>
      <c r="B53" s="14" t="str">
        <f>CONCATENATE("     ","Bank/card Fees                                    ")</f>
        <v xml:space="preserve">     Bank/card Fees                                    </v>
      </c>
      <c r="C53" s="14"/>
      <c r="D53" s="2">
        <f>SUM(OSRRefD22_4x_0)</f>
        <v>7167.39</v>
      </c>
      <c r="E53" s="2"/>
      <c r="F53" s="6">
        <f t="shared" si="4"/>
        <v>6.0256432782928165E-2</v>
      </c>
      <c r="G53" s="2"/>
      <c r="H53" s="2">
        <f>SUM(OSRRefH22_4x_0)</f>
        <v>11317</v>
      </c>
      <c r="I53" s="2"/>
      <c r="J53" s="6">
        <f t="shared" si="5"/>
        <v>4.6019779111566551E-2</v>
      </c>
      <c r="K53" s="2"/>
      <c r="L53" s="2">
        <f t="shared" si="6"/>
        <v>-4149.6099999999997</v>
      </c>
      <c r="M53" s="2"/>
      <c r="N53" s="6">
        <f t="shared" si="7"/>
        <v>-0.3666704957144119</v>
      </c>
      <c r="O53" s="14"/>
      <c r="P53" s="2">
        <f>SUM(OSRRefP22_4x_0)</f>
        <v>52921.51</v>
      </c>
      <c r="Q53" s="2"/>
      <c r="R53" s="6">
        <f t="shared" si="8"/>
        <v>3.5059416429874958E-2</v>
      </c>
      <c r="S53" s="2"/>
      <c r="T53" s="2">
        <f>SUM(OSRRefT22_4x_0)</f>
        <v>96989</v>
      </c>
      <c r="U53" s="2"/>
      <c r="V53" s="6">
        <f t="shared" si="9"/>
        <v>4.7263291262609038E-2</v>
      </c>
      <c r="W53" s="2"/>
      <c r="X53" s="2">
        <f t="shared" si="10"/>
        <v>-44067.49</v>
      </c>
      <c r="Y53" s="2"/>
      <c r="Z53" s="6">
        <f t="shared" si="11"/>
        <v>-0.45435554547422902</v>
      </c>
    </row>
    <row r="54" spans="1:26" s="70" customFormat="1" ht="15" hidden="1" customHeight="1" outlineLevel="2" x14ac:dyDescent="0.25">
      <c r="A54" s="25"/>
      <c r="B54" s="12" t="str">
        <f>CONCATENATE("          ","6381"," - ","BANK/CREDIT CARD FEES")</f>
        <v xml:space="preserve">          6381 - BANK/CREDIT CARD FEES</v>
      </c>
      <c r="C54" s="12"/>
      <c r="D54" s="8">
        <v>7167.39</v>
      </c>
      <c r="E54" s="3"/>
      <c r="F54" s="7">
        <f t="shared" si="4"/>
        <v>6.0256432782928165E-2</v>
      </c>
      <c r="G54" s="3"/>
      <c r="H54" s="8">
        <v>11317</v>
      </c>
      <c r="I54" s="3"/>
      <c r="J54" s="7">
        <f t="shared" si="5"/>
        <v>4.6019779111566551E-2</v>
      </c>
      <c r="K54" s="3"/>
      <c r="L54" s="8">
        <f t="shared" si="6"/>
        <v>-4149.6099999999997</v>
      </c>
      <c r="M54" s="3"/>
      <c r="N54" s="7">
        <f t="shared" si="7"/>
        <v>-0.3666704957144119</v>
      </c>
      <c r="O54" s="12"/>
      <c r="P54" s="8">
        <v>52921.51</v>
      </c>
      <c r="Q54" s="3"/>
      <c r="R54" s="7">
        <f t="shared" si="8"/>
        <v>3.5059416429874958E-2</v>
      </c>
      <c r="S54" s="3"/>
      <c r="T54" s="8">
        <v>96989</v>
      </c>
      <c r="U54" s="3"/>
      <c r="V54" s="7">
        <f t="shared" si="9"/>
        <v>4.7263291262609038E-2</v>
      </c>
      <c r="W54" s="3"/>
      <c r="X54" s="8">
        <f t="shared" si="10"/>
        <v>-44067.49</v>
      </c>
      <c r="Y54" s="3"/>
      <c r="Z54" s="7">
        <f t="shared" si="11"/>
        <v>-0.45435554547422902</v>
      </c>
    </row>
    <row r="55" spans="1:26" s="69" customFormat="1" ht="15" customHeight="1" outlineLevel="1" collapsed="1" x14ac:dyDescent="0.25">
      <c r="A55" s="26"/>
      <c r="B55" s="14" t="str">
        <f>CONCATENATE("     ","Depreciation                                      ")</f>
        <v xml:space="preserve">     Depreciation                                      </v>
      </c>
      <c r="C55" s="14"/>
      <c r="D55" s="2">
        <f>SUM(OSRRefD22_5x_0)</f>
        <v>36722.82</v>
      </c>
      <c r="E55" s="2"/>
      <c r="F55" s="6">
        <f t="shared" si="4"/>
        <v>0.30872969587668175</v>
      </c>
      <c r="G55" s="2"/>
      <c r="H55" s="2">
        <f>SUM(OSRRefH22_5x_0)</f>
        <v>32208</v>
      </c>
      <c r="I55" s="2"/>
      <c r="J55" s="6">
        <f t="shared" si="5"/>
        <v>0.13097155126140633</v>
      </c>
      <c r="K55" s="2"/>
      <c r="L55" s="2">
        <f t="shared" si="6"/>
        <v>4514.82</v>
      </c>
      <c r="M55" s="2"/>
      <c r="N55" s="6">
        <f t="shared" si="7"/>
        <v>0.14017697466467957</v>
      </c>
      <c r="O55" s="14"/>
      <c r="P55" s="2">
        <f>SUM(OSRRefP22_5x_0)</f>
        <v>367352.24</v>
      </c>
      <c r="Q55" s="2"/>
      <c r="R55" s="6">
        <f t="shared" si="8"/>
        <v>0.24336333484451533</v>
      </c>
      <c r="S55" s="2"/>
      <c r="T55" s="2">
        <f>SUM(OSRRefT22_5x_0)</f>
        <v>358976</v>
      </c>
      <c r="U55" s="2"/>
      <c r="V55" s="6">
        <f t="shared" si="9"/>
        <v>0.1749310462453097</v>
      </c>
      <c r="W55" s="2"/>
      <c r="X55" s="2">
        <f t="shared" si="10"/>
        <v>8376.2399999999907</v>
      </c>
      <c r="Y55" s="2"/>
      <c r="Z55" s="6">
        <f t="shared" si="11"/>
        <v>2.3333704760206783E-2</v>
      </c>
    </row>
    <row r="56" spans="1:26" s="70" customFormat="1" ht="15" hidden="1" customHeight="1" outlineLevel="2" x14ac:dyDescent="0.25">
      <c r="A56" s="25"/>
      <c r="B56" s="12" t="str">
        <f>CONCATENATE("          ","6321"," - ","BUILDING DEPRECIATION")</f>
        <v xml:space="preserve">          6321 - BUILDING DEPRECIATION</v>
      </c>
      <c r="C56" s="12"/>
      <c r="D56" s="8">
        <v>23539.4</v>
      </c>
      <c r="E56" s="3"/>
      <c r="F56" s="7">
        <f t="shared" si="4"/>
        <v>0.19789634355748176</v>
      </c>
      <c r="G56" s="3"/>
      <c r="H56" s="8"/>
      <c r="I56" s="3"/>
      <c r="J56" s="7">
        <f t="shared" si="5"/>
        <v>0</v>
      </c>
      <c r="K56" s="3"/>
      <c r="L56" s="8">
        <f t="shared" si="6"/>
        <v>23539.4</v>
      </c>
      <c r="M56" s="3"/>
      <c r="N56" s="7">
        <f t="shared" si="7"/>
        <v>0</v>
      </c>
      <c r="O56" s="12"/>
      <c r="P56" s="8">
        <v>259021.54</v>
      </c>
      <c r="Q56" s="3"/>
      <c r="R56" s="7">
        <f t="shared" si="8"/>
        <v>0.17159646493774483</v>
      </c>
      <c r="S56" s="3"/>
      <c r="T56" s="8"/>
      <c r="U56" s="3"/>
      <c r="V56" s="7">
        <f t="shared" si="9"/>
        <v>0</v>
      </c>
      <c r="W56" s="3"/>
      <c r="X56" s="8">
        <f t="shared" si="10"/>
        <v>259021.54</v>
      </c>
      <c r="Y56" s="3"/>
      <c r="Z56" s="7">
        <f t="shared" si="11"/>
        <v>0</v>
      </c>
    </row>
    <row r="57" spans="1:26" s="70" customFormat="1" ht="15" hidden="1" customHeight="1" outlineLevel="2" x14ac:dyDescent="0.25">
      <c r="A57" s="25"/>
      <c r="B57" s="12" t="str">
        <f>CONCATENATE("          ","6322"," - ","EQUIPMENT DEPRECIATION EXPENSE")</f>
        <v xml:space="preserve">          6322 - EQUIPMENT DEPRECIATION EXPENSE</v>
      </c>
      <c r="C57" s="12"/>
      <c r="D57" s="8">
        <v>13183.42</v>
      </c>
      <c r="E57" s="3"/>
      <c r="F57" s="7">
        <f t="shared" si="4"/>
        <v>0.11083335231919998</v>
      </c>
      <c r="G57" s="3"/>
      <c r="H57" s="8">
        <v>32208</v>
      </c>
      <c r="I57" s="3"/>
      <c r="J57" s="7">
        <f t="shared" si="5"/>
        <v>0.13097155126140633</v>
      </c>
      <c r="K57" s="3"/>
      <c r="L57" s="8">
        <f t="shared" si="6"/>
        <v>-19024.580000000002</v>
      </c>
      <c r="M57" s="3"/>
      <c r="N57" s="7">
        <f t="shared" si="7"/>
        <v>-0.5906787133631396</v>
      </c>
      <c r="O57" s="12"/>
      <c r="P57" s="8">
        <v>108330.7</v>
      </c>
      <c r="Q57" s="3"/>
      <c r="R57" s="7">
        <f t="shared" si="8"/>
        <v>7.1766869906770503E-2</v>
      </c>
      <c r="S57" s="3"/>
      <c r="T57" s="8">
        <v>358976</v>
      </c>
      <c r="U57" s="3"/>
      <c r="V57" s="7">
        <f t="shared" si="9"/>
        <v>0.1749310462453097</v>
      </c>
      <c r="W57" s="3"/>
      <c r="X57" s="8">
        <f t="shared" si="10"/>
        <v>-250645.3</v>
      </c>
      <c r="Y57" s="3"/>
      <c r="Z57" s="7">
        <f t="shared" si="11"/>
        <v>-0.69822300098056689</v>
      </c>
    </row>
    <row r="58" spans="1:26" s="69" customFormat="1" ht="15" customHeight="1" outlineLevel="1" collapsed="1" x14ac:dyDescent="0.25">
      <c r="A58" s="26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SUM(OSRRefD22_6x_0)</f>
        <v>0</v>
      </c>
      <c r="E58" s="2"/>
      <c r="F58" s="6">
        <f t="shared" ref="F58:F89" si="12">IF(D$12=0,0,D58/D$12)</f>
        <v>0</v>
      </c>
      <c r="G58" s="2"/>
      <c r="H58" s="2">
        <f>SUM(OSRRefH22_6x_0)</f>
        <v>90</v>
      </c>
      <c r="I58" s="2"/>
      <c r="J58" s="6">
        <f t="shared" ref="J58:J89" si="13">IF(H$12=0,0,H58/H$12)</f>
        <v>3.6597862684819204E-4</v>
      </c>
      <c r="K58" s="2"/>
      <c r="L58" s="2">
        <f t="shared" ref="L58:L89" si="14">+D58-H58</f>
        <v>-90</v>
      </c>
      <c r="M58" s="2"/>
      <c r="N58" s="6">
        <f t="shared" ref="N58:N89" si="15">IF(H58=0,0,L58/H58)</f>
        <v>-1</v>
      </c>
      <c r="O58" s="14"/>
      <c r="P58" s="2">
        <f>SUM(OSRRefP22_6x_0)</f>
        <v>376.32</v>
      </c>
      <c r="Q58" s="2"/>
      <c r="R58" s="6">
        <f t="shared" ref="R58:R89" si="16">IF(P$12=0,0,P58/P$12)</f>
        <v>2.4930429216570997E-4</v>
      </c>
      <c r="S58" s="2"/>
      <c r="T58" s="2">
        <f>SUM(OSRRefT22_6x_0)</f>
        <v>380</v>
      </c>
      <c r="U58" s="2"/>
      <c r="V58" s="6">
        <f t="shared" ref="V58:V89" si="17">IF(T$12=0,0,T58/T$12)</f>
        <v>1.8517616100579895E-4</v>
      </c>
      <c r="W58" s="2"/>
      <c r="X58" s="2">
        <f t="shared" ref="X58:X89" si="18">+P58-T58</f>
        <v>-3.6800000000000068</v>
      </c>
      <c r="Y58" s="2"/>
      <c r="Z58" s="6">
        <f t="shared" ref="Z58:Z89" si="19">IF(T58=0,0,X58/T58)</f>
        <v>-9.6842105263158073E-3</v>
      </c>
    </row>
    <row r="59" spans="1:26" s="70" customFormat="1" ht="15" hidden="1" customHeight="1" outlineLevel="2" x14ac:dyDescent="0.25">
      <c r="A59" s="25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12"/>
        <v>0</v>
      </c>
      <c r="G59" s="3"/>
      <c r="H59" s="8">
        <v>90</v>
      </c>
      <c r="I59" s="3"/>
      <c r="J59" s="7">
        <f t="shared" si="13"/>
        <v>3.6597862684819204E-4</v>
      </c>
      <c r="K59" s="3"/>
      <c r="L59" s="8">
        <f t="shared" si="14"/>
        <v>-90</v>
      </c>
      <c r="M59" s="3"/>
      <c r="N59" s="7">
        <f t="shared" si="15"/>
        <v>-1</v>
      </c>
      <c r="O59" s="12"/>
      <c r="P59" s="8">
        <v>376.32</v>
      </c>
      <c r="Q59" s="3"/>
      <c r="R59" s="7">
        <f t="shared" si="16"/>
        <v>2.4930429216570997E-4</v>
      </c>
      <c r="S59" s="3"/>
      <c r="T59" s="8">
        <v>380</v>
      </c>
      <c r="U59" s="3"/>
      <c r="V59" s="7">
        <f t="shared" si="17"/>
        <v>1.8517616100579895E-4</v>
      </c>
      <c r="W59" s="3"/>
      <c r="X59" s="8">
        <f t="shared" si="18"/>
        <v>-3.6800000000000068</v>
      </c>
      <c r="Y59" s="3"/>
      <c r="Z59" s="7">
        <f t="shared" si="19"/>
        <v>-9.6842105263158073E-3</v>
      </c>
    </row>
    <row r="60" spans="1:26" s="69" customFormat="1" ht="15" customHeight="1" outlineLevel="1" collapsed="1" x14ac:dyDescent="0.25">
      <c r="A60" s="26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SUM(OSRRefD22_7x_0)</f>
        <v>927.59</v>
      </c>
      <c r="E60" s="2"/>
      <c r="F60" s="6">
        <f t="shared" si="12"/>
        <v>7.7982730791984721E-3</v>
      </c>
      <c r="G60" s="2"/>
      <c r="H60" s="2">
        <f>SUM(OSRRefH22_7x_0)</f>
        <v>775</v>
      </c>
      <c r="I60" s="2"/>
      <c r="J60" s="6">
        <f t="shared" si="13"/>
        <v>3.1514826200816537E-3</v>
      </c>
      <c r="K60" s="2"/>
      <c r="L60" s="2">
        <f t="shared" si="14"/>
        <v>152.59000000000003</v>
      </c>
      <c r="M60" s="2"/>
      <c r="N60" s="6">
        <f t="shared" si="15"/>
        <v>0.19689032258064521</v>
      </c>
      <c r="O60" s="14"/>
      <c r="P60" s="2">
        <f>SUM(OSRRefP22_7x_0)</f>
        <v>10948.3</v>
      </c>
      <c r="Q60" s="2"/>
      <c r="R60" s="6">
        <f t="shared" si="16"/>
        <v>7.2530245055214774E-3</v>
      </c>
      <c r="S60" s="2"/>
      <c r="T60" s="2">
        <f>SUM(OSRRefT22_7x_0)</f>
        <v>8525</v>
      </c>
      <c r="U60" s="2"/>
      <c r="V60" s="6">
        <f t="shared" si="17"/>
        <v>4.1542809804590419E-3</v>
      </c>
      <c r="W60" s="2"/>
      <c r="X60" s="2">
        <f t="shared" si="18"/>
        <v>2423.2999999999993</v>
      </c>
      <c r="Y60" s="2"/>
      <c r="Z60" s="6">
        <f t="shared" si="19"/>
        <v>0.28425806451612895</v>
      </c>
    </row>
    <row r="61" spans="1:26" s="70" customFormat="1" ht="15" hidden="1" customHeight="1" outlineLevel="2" x14ac:dyDescent="0.25">
      <c r="A61" s="25"/>
      <c r="B61" s="12" t="str">
        <f>CONCATENATE("          ","6351"," - ","EQUIPMENT RENTAL")</f>
        <v xml:space="preserve">          6351 - EQUIPMENT RENTAL</v>
      </c>
      <c r="C61" s="12"/>
      <c r="D61" s="8">
        <v>927.59</v>
      </c>
      <c r="E61" s="3"/>
      <c r="F61" s="7">
        <f t="shared" si="12"/>
        <v>7.7982730791984721E-3</v>
      </c>
      <c r="G61" s="3"/>
      <c r="H61" s="8">
        <v>775</v>
      </c>
      <c r="I61" s="3"/>
      <c r="J61" s="7">
        <f t="shared" si="13"/>
        <v>3.1514826200816537E-3</v>
      </c>
      <c r="K61" s="3"/>
      <c r="L61" s="8">
        <f t="shared" si="14"/>
        <v>152.59000000000003</v>
      </c>
      <c r="M61" s="3"/>
      <c r="N61" s="7">
        <f t="shared" si="15"/>
        <v>0.19689032258064521</v>
      </c>
      <c r="O61" s="12"/>
      <c r="P61" s="8">
        <v>10948.3</v>
      </c>
      <c r="Q61" s="3"/>
      <c r="R61" s="7">
        <f t="shared" si="16"/>
        <v>7.2530245055214774E-3</v>
      </c>
      <c r="S61" s="3"/>
      <c r="T61" s="8">
        <v>8525</v>
      </c>
      <c r="U61" s="3"/>
      <c r="V61" s="7">
        <f t="shared" si="17"/>
        <v>4.1542809804590419E-3</v>
      </c>
      <c r="W61" s="3"/>
      <c r="X61" s="8">
        <f t="shared" si="18"/>
        <v>2423.2999999999993</v>
      </c>
      <c r="Y61" s="3"/>
      <c r="Z61" s="7">
        <f t="shared" si="19"/>
        <v>0.28425806451612895</v>
      </c>
    </row>
    <row r="62" spans="1:26" s="69" customFormat="1" ht="15" customHeight="1" outlineLevel="1" collapsed="1" x14ac:dyDescent="0.25">
      <c r="A62" s="26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SUM(OSRRefD22_8x_0)</f>
        <v>27314.44</v>
      </c>
      <c r="E62" s="2"/>
      <c r="F62" s="6">
        <f t="shared" si="12"/>
        <v>0.22963320230423126</v>
      </c>
      <c r="G62" s="2"/>
      <c r="H62" s="2">
        <f>SUM(OSRRefH22_8x_0)</f>
        <v>0</v>
      </c>
      <c r="I62" s="2"/>
      <c r="J62" s="6">
        <f t="shared" si="13"/>
        <v>0</v>
      </c>
      <c r="K62" s="2"/>
      <c r="L62" s="2">
        <f t="shared" si="14"/>
        <v>27314.44</v>
      </c>
      <c r="M62" s="2"/>
      <c r="N62" s="6">
        <f t="shared" si="15"/>
        <v>0</v>
      </c>
      <c r="O62" s="14"/>
      <c r="P62" s="2">
        <f>SUM(OSRRefP22_8x_0)</f>
        <v>46954.080000000002</v>
      </c>
      <c r="Q62" s="2"/>
      <c r="R62" s="6">
        <f t="shared" si="16"/>
        <v>3.1106116280538158E-2</v>
      </c>
      <c r="S62" s="2"/>
      <c r="T62" s="2">
        <f>SUM(OSRRefT22_8x_0)</f>
        <v>5690</v>
      </c>
      <c r="U62" s="2"/>
      <c r="V62" s="6">
        <f t="shared" si="17"/>
        <v>2.7727693582184102E-3</v>
      </c>
      <c r="W62" s="2"/>
      <c r="X62" s="2">
        <f t="shared" si="18"/>
        <v>41264.080000000002</v>
      </c>
      <c r="Y62" s="2"/>
      <c r="Z62" s="6">
        <f t="shared" si="19"/>
        <v>7.252035149384886</v>
      </c>
    </row>
    <row r="63" spans="1:26" s="70" customFormat="1" ht="15" hidden="1" customHeight="1" outlineLevel="2" x14ac:dyDescent="0.25">
      <c r="A63" s="25"/>
      <c r="B63" s="12" t="str">
        <f>CONCATENATE("          ","6269"," - ","ENTERTAINMENT")</f>
        <v xml:space="preserve">          6269 - ENTERTAINMENT</v>
      </c>
      <c r="C63" s="12"/>
      <c r="D63" s="8"/>
      <c r="E63" s="3"/>
      <c r="F63" s="7">
        <f t="shared" si="12"/>
        <v>0</v>
      </c>
      <c r="G63" s="3"/>
      <c r="H63" s="8"/>
      <c r="I63" s="3"/>
      <c r="J63" s="7">
        <f t="shared" si="13"/>
        <v>0</v>
      </c>
      <c r="K63" s="3"/>
      <c r="L63" s="8">
        <f t="shared" si="14"/>
        <v>0</v>
      </c>
      <c r="M63" s="3"/>
      <c r="N63" s="7">
        <f t="shared" si="15"/>
        <v>0</v>
      </c>
      <c r="O63" s="12"/>
      <c r="P63" s="8"/>
      <c r="Q63" s="3"/>
      <c r="R63" s="7">
        <f t="shared" si="16"/>
        <v>0</v>
      </c>
      <c r="S63" s="3"/>
      <c r="T63" s="8">
        <v>500</v>
      </c>
      <c r="U63" s="3"/>
      <c r="V63" s="7">
        <f t="shared" si="17"/>
        <v>2.4365284342868282E-4</v>
      </c>
      <c r="W63" s="3"/>
      <c r="X63" s="8">
        <f t="shared" si="18"/>
        <v>-500</v>
      </c>
      <c r="Y63" s="3"/>
      <c r="Z63" s="7">
        <f t="shared" si="19"/>
        <v>-1</v>
      </c>
    </row>
    <row r="64" spans="1:26" s="70" customFormat="1" ht="15" hidden="1" customHeight="1" outlineLevel="2" x14ac:dyDescent="0.25">
      <c r="A64" s="25"/>
      <c r="B64" s="12" t="str">
        <f>CONCATENATE("          ","6279"," - ","GENERAL EXPENSE")</f>
        <v xml:space="preserve">          6279 - GENERAL EXPENSE</v>
      </c>
      <c r="C64" s="12"/>
      <c r="D64" s="8">
        <v>27314.44</v>
      </c>
      <c r="E64" s="3"/>
      <c r="F64" s="7">
        <f t="shared" si="12"/>
        <v>0.22963320230423126</v>
      </c>
      <c r="G64" s="3"/>
      <c r="H64" s="8"/>
      <c r="I64" s="3"/>
      <c r="J64" s="7">
        <f t="shared" si="13"/>
        <v>0</v>
      </c>
      <c r="K64" s="3"/>
      <c r="L64" s="8">
        <f t="shared" si="14"/>
        <v>27314.44</v>
      </c>
      <c r="M64" s="3"/>
      <c r="N64" s="7">
        <f t="shared" si="15"/>
        <v>0</v>
      </c>
      <c r="O64" s="12"/>
      <c r="P64" s="8">
        <v>46954.080000000002</v>
      </c>
      <c r="Q64" s="3"/>
      <c r="R64" s="7">
        <f t="shared" si="16"/>
        <v>3.1106116280538158E-2</v>
      </c>
      <c r="S64" s="3"/>
      <c r="T64" s="8">
        <v>5190</v>
      </c>
      <c r="U64" s="3"/>
      <c r="V64" s="7">
        <f t="shared" si="17"/>
        <v>2.5291165147897274E-3</v>
      </c>
      <c r="W64" s="3"/>
      <c r="X64" s="8">
        <f t="shared" si="18"/>
        <v>41764.080000000002</v>
      </c>
      <c r="Y64" s="3"/>
      <c r="Z64" s="7">
        <f t="shared" si="19"/>
        <v>8.0470289017341052</v>
      </c>
    </row>
    <row r="65" spans="1:26" s="69" customFormat="1" ht="15" customHeight="1" outlineLevel="1" collapsed="1" x14ac:dyDescent="0.25">
      <c r="A65" s="26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5756.21</v>
      </c>
      <c r="E65" s="2"/>
      <c r="F65" s="6">
        <f t="shared" si="12"/>
        <v>4.8392606088048636E-2</v>
      </c>
      <c r="G65" s="2"/>
      <c r="H65" s="2">
        <f>SUM(OSRRefH22_9x_0)</f>
        <v>5670</v>
      </c>
      <c r="I65" s="2"/>
      <c r="J65" s="6">
        <f t="shared" si="13"/>
        <v>2.30566534914361E-2</v>
      </c>
      <c r="K65" s="2"/>
      <c r="L65" s="2">
        <f t="shared" si="14"/>
        <v>86.210000000000036</v>
      </c>
      <c r="M65" s="2"/>
      <c r="N65" s="6">
        <f t="shared" si="15"/>
        <v>1.5204585537918877E-2</v>
      </c>
      <c r="O65" s="14"/>
      <c r="P65" s="2">
        <f>SUM(OSRRefP22_9x_0)</f>
        <v>70201.31</v>
      </c>
      <c r="Q65" s="2"/>
      <c r="R65" s="6">
        <f t="shared" si="16"/>
        <v>4.6506930002805001E-2</v>
      </c>
      <c r="S65" s="2"/>
      <c r="T65" s="2">
        <f>SUM(OSRRefT22_9x_0)</f>
        <v>62370</v>
      </c>
      <c r="U65" s="2"/>
      <c r="V65" s="6">
        <f t="shared" si="17"/>
        <v>3.0393255689293894E-2</v>
      </c>
      <c r="W65" s="2"/>
      <c r="X65" s="2">
        <f t="shared" si="18"/>
        <v>7831.3099999999977</v>
      </c>
      <c r="Y65" s="2"/>
      <c r="Z65" s="6">
        <f t="shared" si="19"/>
        <v>0.12556212922879587</v>
      </c>
    </row>
    <row r="66" spans="1:26" s="70" customFormat="1" ht="15" hidden="1" customHeight="1" outlineLevel="2" x14ac:dyDescent="0.25">
      <c r="A66" s="25"/>
      <c r="B66" s="12" t="str">
        <f>CONCATENATE("          ","6314"," - ","LIABILITY INSURANCE")</f>
        <v xml:space="preserve">          6314 - LIABILITY INSURANCE</v>
      </c>
      <c r="C66" s="12"/>
      <c r="D66" s="8">
        <v>5756.21</v>
      </c>
      <c r="E66" s="3"/>
      <c r="F66" s="7">
        <f t="shared" si="12"/>
        <v>4.8392606088048636E-2</v>
      </c>
      <c r="G66" s="3"/>
      <c r="H66" s="8">
        <v>5670</v>
      </c>
      <c r="I66" s="3"/>
      <c r="J66" s="7">
        <f t="shared" si="13"/>
        <v>2.30566534914361E-2</v>
      </c>
      <c r="K66" s="3"/>
      <c r="L66" s="8">
        <f t="shared" si="14"/>
        <v>86.210000000000036</v>
      </c>
      <c r="M66" s="3"/>
      <c r="N66" s="7">
        <f t="shared" si="15"/>
        <v>1.5204585537918877E-2</v>
      </c>
      <c r="O66" s="12"/>
      <c r="P66" s="8">
        <v>70201.31</v>
      </c>
      <c r="Q66" s="3"/>
      <c r="R66" s="7">
        <f t="shared" si="16"/>
        <v>4.6506930002805001E-2</v>
      </c>
      <c r="S66" s="3"/>
      <c r="T66" s="8">
        <v>62370</v>
      </c>
      <c r="U66" s="3"/>
      <c r="V66" s="7">
        <f t="shared" si="17"/>
        <v>3.0393255689293894E-2</v>
      </c>
      <c r="W66" s="3"/>
      <c r="X66" s="8">
        <f t="shared" si="18"/>
        <v>7831.3099999999977</v>
      </c>
      <c r="Y66" s="3"/>
      <c r="Z66" s="7">
        <f t="shared" si="19"/>
        <v>0.12556212922879587</v>
      </c>
    </row>
    <row r="67" spans="1:26" s="69" customFormat="1" ht="15" customHeight="1" outlineLevel="1" collapsed="1" x14ac:dyDescent="0.25">
      <c r="A67" s="26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7253</v>
      </c>
      <c r="E67" s="2"/>
      <c r="F67" s="6">
        <f t="shared" si="12"/>
        <v>6.0976158263269888E-2</v>
      </c>
      <c r="G67" s="2"/>
      <c r="H67" s="2">
        <f>SUM(OSRRefH22_10x_0)</f>
        <v>6982</v>
      </c>
      <c r="I67" s="2"/>
      <c r="J67" s="6">
        <f t="shared" si="13"/>
        <v>2.8391808585045301E-2</v>
      </c>
      <c r="K67" s="2"/>
      <c r="L67" s="2">
        <f t="shared" si="14"/>
        <v>271</v>
      </c>
      <c r="M67" s="2"/>
      <c r="N67" s="6">
        <f t="shared" si="15"/>
        <v>3.8814093382984818E-2</v>
      </c>
      <c r="O67" s="14"/>
      <c r="P67" s="2">
        <f>SUM(OSRRefP22_10x_0)</f>
        <v>77645</v>
      </c>
      <c r="Q67" s="2"/>
      <c r="R67" s="6">
        <f t="shared" si="16"/>
        <v>5.1438222165195981E-2</v>
      </c>
      <c r="S67" s="2"/>
      <c r="T67" s="2">
        <f>SUM(OSRRefT22_10x_0)</f>
        <v>79512</v>
      </c>
      <c r="U67" s="2"/>
      <c r="V67" s="6">
        <f t="shared" si="17"/>
        <v>3.8746649773402857E-2</v>
      </c>
      <c r="W67" s="2"/>
      <c r="X67" s="2">
        <f t="shared" si="18"/>
        <v>-1867</v>
      </c>
      <c r="Y67" s="2"/>
      <c r="Z67" s="6">
        <f t="shared" si="19"/>
        <v>-2.3480732468055137E-2</v>
      </c>
    </row>
    <row r="68" spans="1:26" s="70" customFormat="1" ht="15" hidden="1" customHeight="1" outlineLevel="2" x14ac:dyDescent="0.25">
      <c r="A68" s="25"/>
      <c r="B68" s="12" t="str">
        <f>CONCATENATE("          ","6401"," - ","INTEREST EXPENSE")</f>
        <v xml:space="preserve">          6401 - INTEREST EXPENSE</v>
      </c>
      <c r="C68" s="12"/>
      <c r="D68" s="8">
        <v>7253</v>
      </c>
      <c r="E68" s="3"/>
      <c r="F68" s="7">
        <f t="shared" si="12"/>
        <v>6.0976158263269888E-2</v>
      </c>
      <c r="G68" s="3"/>
      <c r="H68" s="8">
        <v>6982</v>
      </c>
      <c r="I68" s="3"/>
      <c r="J68" s="7">
        <f t="shared" si="13"/>
        <v>2.8391808585045301E-2</v>
      </c>
      <c r="K68" s="3"/>
      <c r="L68" s="8">
        <f t="shared" si="14"/>
        <v>271</v>
      </c>
      <c r="M68" s="3"/>
      <c r="N68" s="7">
        <f t="shared" si="15"/>
        <v>3.8814093382984818E-2</v>
      </c>
      <c r="O68" s="12"/>
      <c r="P68" s="8">
        <v>77645</v>
      </c>
      <c r="Q68" s="3"/>
      <c r="R68" s="7">
        <f t="shared" si="16"/>
        <v>5.1438222165195981E-2</v>
      </c>
      <c r="S68" s="3"/>
      <c r="T68" s="8">
        <v>79512</v>
      </c>
      <c r="U68" s="3"/>
      <c r="V68" s="7">
        <f t="shared" si="17"/>
        <v>3.8746649773402857E-2</v>
      </c>
      <c r="W68" s="3"/>
      <c r="X68" s="8">
        <f t="shared" si="18"/>
        <v>-1867</v>
      </c>
      <c r="Y68" s="3"/>
      <c r="Z68" s="7">
        <f t="shared" si="19"/>
        <v>-2.3480732468055137E-2</v>
      </c>
    </row>
    <row r="69" spans="1:26" s="69" customFormat="1" ht="15" customHeight="1" outlineLevel="1" collapsed="1" x14ac:dyDescent="0.25">
      <c r="A69" s="26"/>
      <c r="B69" s="14" t="str">
        <f>CONCATENATE("     ","Professional Services                             ")</f>
        <v xml:space="preserve">     Professional Services                             </v>
      </c>
      <c r="C69" s="14"/>
      <c r="D69" s="2">
        <f>SUM(OSRRefD22_11x_0)</f>
        <v>511.58</v>
      </c>
      <c r="E69" s="2"/>
      <c r="F69" s="6">
        <f t="shared" si="12"/>
        <v>4.3008662683473881E-3</v>
      </c>
      <c r="G69" s="2"/>
      <c r="H69" s="2">
        <f>SUM(OSRRefH22_11x_0)</f>
        <v>0</v>
      </c>
      <c r="I69" s="2"/>
      <c r="J69" s="6">
        <f t="shared" si="13"/>
        <v>0</v>
      </c>
      <c r="K69" s="2"/>
      <c r="L69" s="2">
        <f t="shared" si="14"/>
        <v>511.58</v>
      </c>
      <c r="M69" s="2"/>
      <c r="N69" s="6">
        <f t="shared" si="15"/>
        <v>0</v>
      </c>
      <c r="O69" s="14"/>
      <c r="P69" s="2">
        <f>SUM(OSRRefP22_11x_0)</f>
        <v>511.58</v>
      </c>
      <c r="Q69" s="2"/>
      <c r="R69" s="6">
        <f t="shared" si="16"/>
        <v>3.3891127175311942E-4</v>
      </c>
      <c r="S69" s="2"/>
      <c r="T69" s="2">
        <f>SUM(OSRRefT22_11x_0)</f>
        <v>0</v>
      </c>
      <c r="U69" s="2"/>
      <c r="V69" s="6">
        <f t="shared" si="17"/>
        <v>0</v>
      </c>
      <c r="W69" s="2"/>
      <c r="X69" s="2">
        <f t="shared" si="18"/>
        <v>511.58</v>
      </c>
      <c r="Y69" s="2"/>
      <c r="Z69" s="6">
        <f t="shared" si="19"/>
        <v>0</v>
      </c>
    </row>
    <row r="70" spans="1:26" s="70" customFormat="1" ht="15" hidden="1" customHeight="1" outlineLevel="2" x14ac:dyDescent="0.25">
      <c r="A70" s="25"/>
      <c r="B70" s="12" t="str">
        <f>CONCATENATE("          ","6336"," - ","PROFESSIONAL SERVICES")</f>
        <v xml:space="preserve">          6336 - PROFESSIONAL SERVICES</v>
      </c>
      <c r="C70" s="12"/>
      <c r="D70" s="8">
        <v>511.58</v>
      </c>
      <c r="E70" s="3"/>
      <c r="F70" s="7">
        <f t="shared" si="12"/>
        <v>4.3008662683473881E-3</v>
      </c>
      <c r="G70" s="3"/>
      <c r="H70" s="8"/>
      <c r="I70" s="3"/>
      <c r="J70" s="7">
        <f t="shared" si="13"/>
        <v>0</v>
      </c>
      <c r="K70" s="3"/>
      <c r="L70" s="8">
        <f t="shared" si="14"/>
        <v>511.58</v>
      </c>
      <c r="M70" s="3"/>
      <c r="N70" s="7">
        <f t="shared" si="15"/>
        <v>0</v>
      </c>
      <c r="O70" s="12"/>
      <c r="P70" s="8">
        <v>511.58</v>
      </c>
      <c r="Q70" s="3"/>
      <c r="R70" s="7">
        <f t="shared" si="16"/>
        <v>3.3891127175311942E-4</v>
      </c>
      <c r="S70" s="3"/>
      <c r="T70" s="8"/>
      <c r="U70" s="3"/>
      <c r="V70" s="7">
        <f t="shared" si="17"/>
        <v>0</v>
      </c>
      <c r="W70" s="3"/>
      <c r="X70" s="8">
        <f t="shared" si="18"/>
        <v>511.58</v>
      </c>
      <c r="Y70" s="3"/>
      <c r="Z70" s="7">
        <f t="shared" si="19"/>
        <v>0</v>
      </c>
    </row>
    <row r="71" spans="1:26" s="69" customFormat="1" ht="15" customHeight="1" outlineLevel="1" collapsed="1" x14ac:dyDescent="0.25">
      <c r="A71" s="26"/>
      <c r="B71" s="14" t="str">
        <f>CONCATENATE("     ","Rent                                              ")</f>
        <v xml:space="preserve">     Rent                                              </v>
      </c>
      <c r="C71" s="14"/>
      <c r="D71" s="2">
        <f>SUM(OSRRefD22_12x_0)</f>
        <v>1850</v>
      </c>
      <c r="E71" s="2"/>
      <c r="F71" s="6">
        <f t="shared" si="12"/>
        <v>1.5552997764655907E-2</v>
      </c>
      <c r="G71" s="2"/>
      <c r="H71" s="2">
        <f>SUM(OSRRefH22_12x_0)</f>
        <v>1850</v>
      </c>
      <c r="I71" s="2"/>
      <c r="J71" s="6">
        <f t="shared" si="13"/>
        <v>7.5228939963239479E-3</v>
      </c>
      <c r="K71" s="2"/>
      <c r="L71" s="2">
        <f t="shared" si="14"/>
        <v>0</v>
      </c>
      <c r="M71" s="2"/>
      <c r="N71" s="6">
        <f t="shared" si="15"/>
        <v>0</v>
      </c>
      <c r="O71" s="14"/>
      <c r="P71" s="2">
        <f>SUM(OSRRefP22_12x_0)</f>
        <v>20350</v>
      </c>
      <c r="Q71" s="2"/>
      <c r="R71" s="6">
        <f t="shared" si="16"/>
        <v>1.3481458188701632E-2</v>
      </c>
      <c r="S71" s="2"/>
      <c r="T71" s="2">
        <f>SUM(OSRRefT22_12x_0)</f>
        <v>20350</v>
      </c>
      <c r="U71" s="2"/>
      <c r="V71" s="6">
        <f t="shared" si="17"/>
        <v>9.9166707275473911E-3</v>
      </c>
      <c r="W71" s="2"/>
      <c r="X71" s="2">
        <f t="shared" si="18"/>
        <v>0</v>
      </c>
      <c r="Y71" s="2"/>
      <c r="Z71" s="6">
        <f t="shared" si="19"/>
        <v>0</v>
      </c>
    </row>
    <row r="72" spans="1:26" s="70" customFormat="1" ht="15" hidden="1" customHeight="1" outlineLevel="2" x14ac:dyDescent="0.25">
      <c r="A72" s="25"/>
      <c r="B72" s="12" t="str">
        <f>CONCATENATE("          ","6273"," - ","RENT")</f>
        <v xml:space="preserve">          6273 - RENT</v>
      </c>
      <c r="C72" s="12"/>
      <c r="D72" s="8">
        <v>1850</v>
      </c>
      <c r="E72" s="3"/>
      <c r="F72" s="7">
        <f t="shared" si="12"/>
        <v>1.5552997764655907E-2</v>
      </c>
      <c r="G72" s="3"/>
      <c r="H72" s="8">
        <v>1850</v>
      </c>
      <c r="I72" s="3"/>
      <c r="J72" s="7">
        <f t="shared" si="13"/>
        <v>7.5228939963239479E-3</v>
      </c>
      <c r="K72" s="3"/>
      <c r="L72" s="8">
        <f t="shared" si="14"/>
        <v>0</v>
      </c>
      <c r="M72" s="3"/>
      <c r="N72" s="7">
        <f t="shared" si="15"/>
        <v>0</v>
      </c>
      <c r="O72" s="12"/>
      <c r="P72" s="8">
        <v>20350</v>
      </c>
      <c r="Q72" s="3"/>
      <c r="R72" s="7">
        <f t="shared" si="16"/>
        <v>1.3481458188701632E-2</v>
      </c>
      <c r="S72" s="3"/>
      <c r="T72" s="8">
        <v>20350</v>
      </c>
      <c r="U72" s="3"/>
      <c r="V72" s="7">
        <f t="shared" si="17"/>
        <v>9.9166707275473911E-3</v>
      </c>
      <c r="W72" s="3"/>
      <c r="X72" s="8">
        <f t="shared" si="18"/>
        <v>0</v>
      </c>
      <c r="Y72" s="3"/>
      <c r="Z72" s="7">
        <f t="shared" si="19"/>
        <v>0</v>
      </c>
    </row>
    <row r="73" spans="1:26" s="69" customFormat="1" ht="15" customHeight="1" outlineLevel="1" collapsed="1" x14ac:dyDescent="0.25">
      <c r="A73" s="26"/>
      <c r="B73" s="14" t="str">
        <f>CONCATENATE("     ","Repair and Maintenance                            ")</f>
        <v xml:space="preserve">     Repair and Maintenance                            </v>
      </c>
      <c r="C73" s="14"/>
      <c r="D73" s="2">
        <f>SUM(OSRRefD22_13x_0)</f>
        <v>8393.4600000000009</v>
      </c>
      <c r="E73" s="2"/>
      <c r="F73" s="6">
        <f t="shared" si="12"/>
        <v>7.0564034928502037E-2</v>
      </c>
      <c r="G73" s="2"/>
      <c r="H73" s="2">
        <f>SUM(OSRRefH22_13x_0)</f>
        <v>2679</v>
      </c>
      <c r="I73" s="2"/>
      <c r="J73" s="6">
        <f t="shared" si="13"/>
        <v>1.0893963792514517E-2</v>
      </c>
      <c r="K73" s="2"/>
      <c r="L73" s="2">
        <f t="shared" si="14"/>
        <v>5714.4600000000009</v>
      </c>
      <c r="M73" s="2"/>
      <c r="N73" s="6">
        <f t="shared" si="15"/>
        <v>2.1330571108622625</v>
      </c>
      <c r="O73" s="14"/>
      <c r="P73" s="2">
        <f>SUM(OSRRefP22_13x_0)</f>
        <v>92147.3</v>
      </c>
      <c r="Q73" s="2"/>
      <c r="R73" s="6">
        <f t="shared" si="16"/>
        <v>6.1045698877235675E-2</v>
      </c>
      <c r="S73" s="2"/>
      <c r="T73" s="2">
        <f>SUM(OSRRefT22_13x_0)</f>
        <v>51167</v>
      </c>
      <c r="U73" s="2"/>
      <c r="V73" s="6">
        <f t="shared" si="17"/>
        <v>2.4933970079430826E-2</v>
      </c>
      <c r="W73" s="2"/>
      <c r="X73" s="2">
        <f t="shared" si="18"/>
        <v>40980.300000000003</v>
      </c>
      <c r="Y73" s="2"/>
      <c r="Z73" s="6">
        <f t="shared" si="19"/>
        <v>0.80091269763714901</v>
      </c>
    </row>
    <row r="74" spans="1:26" s="70" customFormat="1" ht="15" hidden="1" customHeight="1" outlineLevel="2" x14ac:dyDescent="0.25">
      <c r="A74" s="25"/>
      <c r="B74" s="12" t="str">
        <f>CONCATENATE("          ","6371"," - ","COMPUTER SOFTWARE MAINTENANCE")</f>
        <v xml:space="preserve">          6371 - COMPUTER SOFTWARE MAINTENANCE</v>
      </c>
      <c r="C74" s="12"/>
      <c r="D74" s="8"/>
      <c r="E74" s="3"/>
      <c r="F74" s="7">
        <f t="shared" si="12"/>
        <v>0</v>
      </c>
      <c r="G74" s="3"/>
      <c r="H74" s="8"/>
      <c r="I74" s="3"/>
      <c r="J74" s="7">
        <f t="shared" si="13"/>
        <v>0</v>
      </c>
      <c r="K74" s="3"/>
      <c r="L74" s="8">
        <f t="shared" si="14"/>
        <v>0</v>
      </c>
      <c r="M74" s="3"/>
      <c r="N74" s="7">
        <f t="shared" si="15"/>
        <v>0</v>
      </c>
      <c r="O74" s="12"/>
      <c r="P74" s="8">
        <v>16567.060000000001</v>
      </c>
      <c r="Q74" s="3"/>
      <c r="R74" s="7">
        <f t="shared" si="16"/>
        <v>1.0975337921361733E-2</v>
      </c>
      <c r="S74" s="3"/>
      <c r="T74" s="8"/>
      <c r="U74" s="3"/>
      <c r="V74" s="7">
        <f t="shared" si="17"/>
        <v>0</v>
      </c>
      <c r="W74" s="3"/>
      <c r="X74" s="8">
        <f t="shared" si="18"/>
        <v>16567.060000000001</v>
      </c>
      <c r="Y74" s="3"/>
      <c r="Z74" s="7">
        <f t="shared" si="19"/>
        <v>0</v>
      </c>
    </row>
    <row r="75" spans="1:26" s="70" customFormat="1" ht="15" hidden="1" customHeight="1" outlineLevel="2" x14ac:dyDescent="0.25">
      <c r="A75" s="25"/>
      <c r="B75" s="12" t="str">
        <f>CONCATENATE("          ","6372"," - ","COMPUTER HARDWARE MAINTENANCE")</f>
        <v xml:space="preserve">          6372 - COMPUTER HARDWARE MAINTENANCE</v>
      </c>
      <c r="C75" s="12"/>
      <c r="D75" s="8"/>
      <c r="E75" s="3"/>
      <c r="F75" s="7">
        <f t="shared" si="12"/>
        <v>0</v>
      </c>
      <c r="G75" s="3"/>
      <c r="H75" s="8"/>
      <c r="I75" s="3"/>
      <c r="J75" s="7">
        <f t="shared" si="13"/>
        <v>0</v>
      </c>
      <c r="K75" s="3"/>
      <c r="L75" s="8">
        <f t="shared" si="14"/>
        <v>0</v>
      </c>
      <c r="M75" s="3"/>
      <c r="N75" s="7">
        <f t="shared" si="15"/>
        <v>0</v>
      </c>
      <c r="O75" s="12"/>
      <c r="P75" s="8"/>
      <c r="Q75" s="3"/>
      <c r="R75" s="7">
        <f t="shared" si="16"/>
        <v>0</v>
      </c>
      <c r="S75" s="3"/>
      <c r="T75" s="8">
        <v>8000</v>
      </c>
      <c r="U75" s="3"/>
      <c r="V75" s="7">
        <f t="shared" si="17"/>
        <v>3.8984454948589251E-3</v>
      </c>
      <c r="W75" s="3"/>
      <c r="X75" s="8">
        <f t="shared" si="18"/>
        <v>-8000</v>
      </c>
      <c r="Y75" s="3"/>
      <c r="Z75" s="7">
        <f t="shared" si="19"/>
        <v>-1</v>
      </c>
    </row>
    <row r="76" spans="1:26" s="70" customFormat="1" ht="15" hidden="1" customHeight="1" outlineLevel="2" x14ac:dyDescent="0.25">
      <c r="A76" s="25"/>
      <c r="B76" s="12" t="str">
        <f>CONCATENATE("          ","6373"," - ","MAINTENANCE CONTRACTS")</f>
        <v xml:space="preserve">          6373 - MAINTENANCE CONTRACTS</v>
      </c>
      <c r="C76" s="12"/>
      <c r="D76" s="8">
        <v>4576.2700000000004</v>
      </c>
      <c r="E76" s="3"/>
      <c r="F76" s="7">
        <f t="shared" si="12"/>
        <v>3.8472820043492915E-2</v>
      </c>
      <c r="G76" s="3"/>
      <c r="H76" s="8"/>
      <c r="I76" s="3"/>
      <c r="J76" s="7">
        <f t="shared" si="13"/>
        <v>0</v>
      </c>
      <c r="K76" s="3"/>
      <c r="L76" s="8">
        <f t="shared" si="14"/>
        <v>4576.2700000000004</v>
      </c>
      <c r="M76" s="3"/>
      <c r="N76" s="7">
        <f t="shared" si="15"/>
        <v>0</v>
      </c>
      <c r="O76" s="12"/>
      <c r="P76" s="8">
        <v>21106.07</v>
      </c>
      <c r="Q76" s="3"/>
      <c r="R76" s="7">
        <f t="shared" si="16"/>
        <v>1.3982339077779354E-2</v>
      </c>
      <c r="S76" s="3"/>
      <c r="T76" s="8">
        <v>5645</v>
      </c>
      <c r="U76" s="3"/>
      <c r="V76" s="7">
        <f t="shared" si="17"/>
        <v>2.7508406023098288E-3</v>
      </c>
      <c r="W76" s="3"/>
      <c r="X76" s="8">
        <f t="shared" si="18"/>
        <v>15461.07</v>
      </c>
      <c r="Y76" s="3"/>
      <c r="Z76" s="7">
        <f t="shared" si="19"/>
        <v>2.7388963684676706</v>
      </c>
    </row>
    <row r="77" spans="1:26" s="70" customFormat="1" ht="15" hidden="1" customHeight="1" outlineLevel="2" x14ac:dyDescent="0.25">
      <c r="A77" s="25"/>
      <c r="B77" s="12" t="str">
        <f>CONCATENATE("          ","6375"," - ","OUTSIDE REPAIRS &amp; MAINTENANCE")</f>
        <v xml:space="preserve">          6375 - OUTSIDE REPAIRS &amp; MAINTENANCE</v>
      </c>
      <c r="C77" s="12"/>
      <c r="D77" s="8">
        <v>3817.19</v>
      </c>
      <c r="E77" s="3"/>
      <c r="F77" s="7">
        <f t="shared" si="12"/>
        <v>3.2091214885009121E-2</v>
      </c>
      <c r="G77" s="3"/>
      <c r="H77" s="8">
        <v>2679</v>
      </c>
      <c r="I77" s="3"/>
      <c r="J77" s="7">
        <f t="shared" si="13"/>
        <v>1.0893963792514517E-2</v>
      </c>
      <c r="K77" s="3"/>
      <c r="L77" s="8">
        <f t="shared" si="14"/>
        <v>1138.19</v>
      </c>
      <c r="M77" s="3"/>
      <c r="N77" s="7">
        <f t="shared" si="15"/>
        <v>0.42485628966032102</v>
      </c>
      <c r="O77" s="12"/>
      <c r="P77" s="8">
        <v>54474.17</v>
      </c>
      <c r="Q77" s="3"/>
      <c r="R77" s="7">
        <f t="shared" si="16"/>
        <v>3.6088021878094581E-2</v>
      </c>
      <c r="S77" s="3"/>
      <c r="T77" s="8">
        <v>37522</v>
      </c>
      <c r="U77" s="3"/>
      <c r="V77" s="7">
        <f t="shared" si="17"/>
        <v>1.8284683982262073E-2</v>
      </c>
      <c r="W77" s="3"/>
      <c r="X77" s="8">
        <f t="shared" si="18"/>
        <v>16952.169999999998</v>
      </c>
      <c r="Y77" s="3"/>
      <c r="Z77" s="7">
        <f t="shared" si="19"/>
        <v>0.4517928148819359</v>
      </c>
    </row>
    <row r="78" spans="1:26" s="69" customFormat="1" ht="15" customHeight="1" outlineLevel="1" collapsed="1" x14ac:dyDescent="0.25">
      <c r="A78" s="26"/>
      <c r="B78" s="14" t="str">
        <f>CONCATENATE("     ","Royalty &amp; Commissions                             ")</f>
        <v xml:space="preserve">     Royalty &amp; Commissions                             </v>
      </c>
      <c r="C78" s="14"/>
      <c r="D78" s="2">
        <f>SUM(OSRRefD22_14x_0)</f>
        <v>123.36</v>
      </c>
      <c r="E78" s="2"/>
      <c r="F78" s="6">
        <f t="shared" si="12"/>
        <v>1.0370907049988933E-3</v>
      </c>
      <c r="G78" s="2"/>
      <c r="H78" s="2">
        <f>SUM(OSRRefH22_14x_0)</f>
        <v>0</v>
      </c>
      <c r="I78" s="2"/>
      <c r="J78" s="6">
        <f t="shared" si="13"/>
        <v>0</v>
      </c>
      <c r="K78" s="2"/>
      <c r="L78" s="2">
        <f t="shared" si="14"/>
        <v>123.36</v>
      </c>
      <c r="M78" s="2"/>
      <c r="N78" s="6">
        <f t="shared" si="15"/>
        <v>0</v>
      </c>
      <c r="O78" s="14"/>
      <c r="P78" s="2">
        <f>SUM(OSRRefP22_14x_0)</f>
        <v>6186.42</v>
      </c>
      <c r="Q78" s="2"/>
      <c r="R78" s="6">
        <f t="shared" si="16"/>
        <v>4.0983765389556535E-3</v>
      </c>
      <c r="S78" s="2"/>
      <c r="T78" s="2">
        <f>SUM(OSRRefT22_14x_0)</f>
        <v>0</v>
      </c>
      <c r="U78" s="2"/>
      <c r="V78" s="6">
        <f t="shared" si="17"/>
        <v>0</v>
      </c>
      <c r="W78" s="2"/>
      <c r="X78" s="2">
        <f t="shared" si="18"/>
        <v>6186.42</v>
      </c>
      <c r="Y78" s="2"/>
      <c r="Z78" s="6">
        <f t="shared" si="19"/>
        <v>0</v>
      </c>
    </row>
    <row r="79" spans="1:26" s="70" customFormat="1" ht="15" hidden="1" customHeight="1" outlineLevel="2" x14ac:dyDescent="0.25">
      <c r="A79" s="25"/>
      <c r="B79" s="12" t="str">
        <f>CONCATENATE("          ","6254"," - ","ROYALTY &amp; COMMISSIONS")</f>
        <v xml:space="preserve">          6254 - ROYALTY &amp; COMMISSIONS</v>
      </c>
      <c r="C79" s="12"/>
      <c r="D79" s="8">
        <v>123.36</v>
      </c>
      <c r="E79" s="3"/>
      <c r="F79" s="7">
        <f t="shared" si="12"/>
        <v>1.0370907049988933E-3</v>
      </c>
      <c r="G79" s="3"/>
      <c r="H79" s="8"/>
      <c r="I79" s="3"/>
      <c r="J79" s="7">
        <f t="shared" si="13"/>
        <v>0</v>
      </c>
      <c r="K79" s="3"/>
      <c r="L79" s="8">
        <f t="shared" si="14"/>
        <v>123.36</v>
      </c>
      <c r="M79" s="3"/>
      <c r="N79" s="7">
        <f t="shared" si="15"/>
        <v>0</v>
      </c>
      <c r="O79" s="12"/>
      <c r="P79" s="8">
        <v>6186.42</v>
      </c>
      <c r="Q79" s="3"/>
      <c r="R79" s="7">
        <f t="shared" si="16"/>
        <v>4.0983765389556535E-3</v>
      </c>
      <c r="S79" s="3"/>
      <c r="T79" s="8"/>
      <c r="U79" s="3"/>
      <c r="V79" s="7">
        <f t="shared" si="17"/>
        <v>0</v>
      </c>
      <c r="W79" s="3"/>
      <c r="X79" s="8">
        <f t="shared" si="18"/>
        <v>6186.42</v>
      </c>
      <c r="Y79" s="3"/>
      <c r="Z79" s="7">
        <f t="shared" si="19"/>
        <v>0</v>
      </c>
    </row>
    <row r="80" spans="1:26" s="69" customFormat="1" ht="15" customHeight="1" outlineLevel="1" collapsed="1" x14ac:dyDescent="0.25">
      <c r="A80" s="26"/>
      <c r="B80" s="14" t="str">
        <f>CONCATENATE("     ","Services                                          ")</f>
        <v xml:space="preserve">     Services                                          </v>
      </c>
      <c r="C80" s="14"/>
      <c r="D80" s="2">
        <f>SUM(OSRRefD22_15x_0)</f>
        <v>5502.4</v>
      </c>
      <c r="E80" s="2"/>
      <c r="F80" s="6">
        <f t="shared" si="12"/>
        <v>4.6258818864996026E-2</v>
      </c>
      <c r="G80" s="2"/>
      <c r="H80" s="2">
        <f>SUM(OSRRefH22_15x_0)</f>
        <v>11005</v>
      </c>
      <c r="I80" s="2"/>
      <c r="J80" s="6">
        <f t="shared" si="13"/>
        <v>4.4751053205159486E-2</v>
      </c>
      <c r="K80" s="2"/>
      <c r="L80" s="2">
        <f t="shared" si="14"/>
        <v>-5502.6</v>
      </c>
      <c r="M80" s="2"/>
      <c r="N80" s="6">
        <f t="shared" si="15"/>
        <v>-0.50000908677873701</v>
      </c>
      <c r="O80" s="14"/>
      <c r="P80" s="2">
        <f>SUM(OSRRefP22_15x_0)</f>
        <v>73646.33</v>
      </c>
      <c r="Q80" s="2"/>
      <c r="R80" s="6">
        <f t="shared" si="16"/>
        <v>4.8789185191465488E-2</v>
      </c>
      <c r="S80" s="2"/>
      <c r="T80" s="2">
        <f>SUM(OSRRefT22_15x_0)</f>
        <v>118155</v>
      </c>
      <c r="U80" s="2"/>
      <c r="V80" s="6">
        <f t="shared" si="17"/>
        <v>5.7577603430632035E-2</v>
      </c>
      <c r="W80" s="2"/>
      <c r="X80" s="2">
        <f t="shared" si="18"/>
        <v>-44508.67</v>
      </c>
      <c r="Y80" s="2"/>
      <c r="Z80" s="6">
        <f t="shared" si="19"/>
        <v>-0.37669730438830351</v>
      </c>
    </row>
    <row r="81" spans="1:26" s="70" customFormat="1" ht="15" hidden="1" customHeight="1" outlineLevel="2" x14ac:dyDescent="0.25">
      <c r="A81" s="25"/>
      <c r="B81" s="12" t="str">
        <f>CONCATENATE("          ","6282"," - ","JANITORIAL/EXTERMINATOR EXPENS")</f>
        <v xml:space="preserve">          6282 - JANITORIAL/EXTERMINATOR EXPENS</v>
      </c>
      <c r="C81" s="12"/>
      <c r="D81" s="8">
        <v>737.15</v>
      </c>
      <c r="E81" s="3"/>
      <c r="F81" s="7">
        <f t="shared" si="12"/>
        <v>6.1972390822789738E-3</v>
      </c>
      <c r="G81" s="3"/>
      <c r="H81" s="8">
        <v>1128</v>
      </c>
      <c r="I81" s="3"/>
      <c r="J81" s="7">
        <f t="shared" si="13"/>
        <v>4.5869321231640069E-3</v>
      </c>
      <c r="K81" s="3"/>
      <c r="L81" s="8">
        <f t="shared" si="14"/>
        <v>-390.85</v>
      </c>
      <c r="M81" s="3"/>
      <c r="N81" s="7">
        <f t="shared" si="15"/>
        <v>-0.34649822695035465</v>
      </c>
      <c r="O81" s="12"/>
      <c r="P81" s="8">
        <v>11855.91</v>
      </c>
      <c r="Q81" s="3"/>
      <c r="R81" s="7">
        <f t="shared" si="16"/>
        <v>7.8542975407375707E-3</v>
      </c>
      <c r="S81" s="3"/>
      <c r="T81" s="8">
        <v>12308</v>
      </c>
      <c r="U81" s="3"/>
      <c r="V81" s="7">
        <f t="shared" si="17"/>
        <v>5.9977583938404565E-3</v>
      </c>
      <c r="W81" s="3"/>
      <c r="X81" s="8">
        <f t="shared" si="18"/>
        <v>-452.09000000000015</v>
      </c>
      <c r="Y81" s="3"/>
      <c r="Z81" s="7">
        <f t="shared" si="19"/>
        <v>-3.6731394215144632E-2</v>
      </c>
    </row>
    <row r="82" spans="1:26" s="70" customFormat="1" ht="15" hidden="1" customHeight="1" outlineLevel="2" x14ac:dyDescent="0.25">
      <c r="A82" s="25"/>
      <c r="B82" s="12" t="str">
        <f>CONCATENATE("          ","6283"," - ","PLANT SERVICE")</f>
        <v xml:space="preserve">          6283 - PLANT SERVICE</v>
      </c>
      <c r="C82" s="12"/>
      <c r="D82" s="8"/>
      <c r="E82" s="3"/>
      <c r="F82" s="7">
        <f t="shared" si="12"/>
        <v>0</v>
      </c>
      <c r="G82" s="3"/>
      <c r="H82" s="8">
        <v>100</v>
      </c>
      <c r="I82" s="3"/>
      <c r="J82" s="7">
        <f t="shared" si="13"/>
        <v>4.0664291872021343E-4</v>
      </c>
      <c r="K82" s="3"/>
      <c r="L82" s="8">
        <f t="shared" si="14"/>
        <v>-100</v>
      </c>
      <c r="M82" s="3"/>
      <c r="N82" s="7">
        <f t="shared" si="15"/>
        <v>-1</v>
      </c>
      <c r="O82" s="12"/>
      <c r="P82" s="8"/>
      <c r="Q82" s="3"/>
      <c r="R82" s="7">
        <f t="shared" si="16"/>
        <v>0</v>
      </c>
      <c r="S82" s="3"/>
      <c r="T82" s="8">
        <v>1100</v>
      </c>
      <c r="U82" s="3"/>
      <c r="V82" s="7">
        <f t="shared" si="17"/>
        <v>5.3603625554310224E-4</v>
      </c>
      <c r="W82" s="3"/>
      <c r="X82" s="8">
        <f t="shared" si="18"/>
        <v>-1100</v>
      </c>
      <c r="Y82" s="3"/>
      <c r="Z82" s="7">
        <f t="shared" si="19"/>
        <v>-1</v>
      </c>
    </row>
    <row r="83" spans="1:26" s="70" customFormat="1" ht="15" hidden="1" customHeight="1" outlineLevel="2" x14ac:dyDescent="0.25">
      <c r="A83" s="25"/>
      <c r="B83" s="12" t="str">
        <f>CONCATENATE("          ","6284"," - ","TRASH REMOVAL EXPENSE")</f>
        <v xml:space="preserve">          6284 - TRASH REMOVAL EXPENSE</v>
      </c>
      <c r="C83" s="12"/>
      <c r="D83" s="8"/>
      <c r="E83" s="3"/>
      <c r="F83" s="7">
        <f t="shared" si="12"/>
        <v>0</v>
      </c>
      <c r="G83" s="3"/>
      <c r="H83" s="8">
        <v>1000</v>
      </c>
      <c r="I83" s="3"/>
      <c r="J83" s="7">
        <f t="shared" si="13"/>
        <v>4.0664291872021339E-3</v>
      </c>
      <c r="K83" s="3"/>
      <c r="L83" s="8">
        <f t="shared" si="14"/>
        <v>-1000</v>
      </c>
      <c r="M83" s="3"/>
      <c r="N83" s="7">
        <f t="shared" si="15"/>
        <v>-1</v>
      </c>
      <c r="O83" s="12"/>
      <c r="P83" s="8"/>
      <c r="Q83" s="3"/>
      <c r="R83" s="7">
        <f t="shared" si="16"/>
        <v>0</v>
      </c>
      <c r="S83" s="3"/>
      <c r="T83" s="8">
        <v>11000</v>
      </c>
      <c r="U83" s="3"/>
      <c r="V83" s="7">
        <f t="shared" si="17"/>
        <v>5.3603625554310219E-3</v>
      </c>
      <c r="W83" s="3"/>
      <c r="X83" s="8">
        <f t="shared" si="18"/>
        <v>-11000</v>
      </c>
      <c r="Y83" s="3"/>
      <c r="Z83" s="7">
        <f t="shared" si="19"/>
        <v>-1</v>
      </c>
    </row>
    <row r="84" spans="1:26" s="70" customFormat="1" ht="15" hidden="1" customHeight="1" outlineLevel="2" x14ac:dyDescent="0.25">
      <c r="A84" s="25"/>
      <c r="B84" s="12" t="str">
        <f>CONCATENATE("          ","6285"," - ","JANITORIAL SERVICES")</f>
        <v xml:space="preserve">          6285 - JANITORIAL SERVICES</v>
      </c>
      <c r="C84" s="12"/>
      <c r="D84" s="8">
        <v>3385.52</v>
      </c>
      <c r="E84" s="3"/>
      <c r="F84" s="7">
        <f t="shared" si="12"/>
        <v>2.8462154049836683E-2</v>
      </c>
      <c r="G84" s="3"/>
      <c r="H84" s="8">
        <v>8224</v>
      </c>
      <c r="I84" s="3"/>
      <c r="J84" s="7">
        <f t="shared" si="13"/>
        <v>3.344231363555035E-2</v>
      </c>
      <c r="K84" s="3"/>
      <c r="L84" s="8">
        <f t="shared" si="14"/>
        <v>-4838.4799999999996</v>
      </c>
      <c r="M84" s="3"/>
      <c r="N84" s="7">
        <f t="shared" si="15"/>
        <v>-0.58833657587548638</v>
      </c>
      <c r="O84" s="12"/>
      <c r="P84" s="8">
        <v>55294.9</v>
      </c>
      <c r="Q84" s="3"/>
      <c r="R84" s="7">
        <f t="shared" si="16"/>
        <v>3.6631738692797934E-2</v>
      </c>
      <c r="S84" s="3"/>
      <c r="T84" s="8">
        <v>87031</v>
      </c>
      <c r="U84" s="3"/>
      <c r="V84" s="7">
        <f t="shared" si="17"/>
        <v>4.2410701232883388E-2</v>
      </c>
      <c r="W84" s="3"/>
      <c r="X84" s="8">
        <f t="shared" si="18"/>
        <v>-31736.1</v>
      </c>
      <c r="Y84" s="3"/>
      <c r="Z84" s="7">
        <f t="shared" si="19"/>
        <v>-0.36465282485551126</v>
      </c>
    </row>
    <row r="85" spans="1:26" s="70" customFormat="1" ht="15" hidden="1" customHeight="1" outlineLevel="2" x14ac:dyDescent="0.25">
      <c r="A85" s="25"/>
      <c r="B85" s="12" t="str">
        <f>CONCATENATE("          ","6286"," - ","LAUNDRY EXPENSE")</f>
        <v xml:space="preserve">          6286 - LAUNDRY EXPENSE</v>
      </c>
      <c r="C85" s="12"/>
      <c r="D85" s="8">
        <v>1379.73</v>
      </c>
      <c r="E85" s="3"/>
      <c r="F85" s="7">
        <f t="shared" si="12"/>
        <v>1.1599425732880374E-2</v>
      </c>
      <c r="G85" s="3"/>
      <c r="H85" s="8">
        <v>553</v>
      </c>
      <c r="I85" s="3"/>
      <c r="J85" s="7">
        <f t="shared" si="13"/>
        <v>2.2487353405227801E-3</v>
      </c>
      <c r="K85" s="3"/>
      <c r="L85" s="8">
        <f t="shared" si="14"/>
        <v>826.73</v>
      </c>
      <c r="M85" s="3"/>
      <c r="N85" s="7">
        <f t="shared" si="15"/>
        <v>1.49499095840868</v>
      </c>
      <c r="O85" s="12"/>
      <c r="P85" s="8">
        <v>6495.52</v>
      </c>
      <c r="Q85" s="3"/>
      <c r="R85" s="7">
        <f t="shared" si="16"/>
        <v>4.3031489579299868E-3</v>
      </c>
      <c r="S85" s="3"/>
      <c r="T85" s="8">
        <v>6716</v>
      </c>
      <c r="U85" s="3"/>
      <c r="V85" s="7">
        <f t="shared" si="17"/>
        <v>3.2727449929340676E-3</v>
      </c>
      <c r="W85" s="3"/>
      <c r="X85" s="8">
        <f t="shared" si="18"/>
        <v>-220.47999999999956</v>
      </c>
      <c r="Y85" s="3"/>
      <c r="Z85" s="7">
        <f t="shared" si="19"/>
        <v>-3.2829064919594933E-2</v>
      </c>
    </row>
    <row r="86" spans="1:26" s="69" customFormat="1" ht="15" customHeight="1" outlineLevel="1" collapsed="1" x14ac:dyDescent="0.25">
      <c r="A86" s="26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SUM(OSRRefD22_16x_0)</f>
        <v>560.5</v>
      </c>
      <c r="E86" s="2"/>
      <c r="F86" s="6">
        <f t="shared" si="12"/>
        <v>4.7121379713998034E-3</v>
      </c>
      <c r="G86" s="2"/>
      <c r="H86" s="2">
        <f>SUM(OSRRefH22_16x_0)</f>
        <v>610</v>
      </c>
      <c r="I86" s="2"/>
      <c r="J86" s="6">
        <f t="shared" si="13"/>
        <v>2.4805218041933016E-3</v>
      </c>
      <c r="K86" s="2"/>
      <c r="L86" s="2">
        <f t="shared" si="14"/>
        <v>-49.5</v>
      </c>
      <c r="M86" s="2"/>
      <c r="N86" s="6">
        <f t="shared" si="15"/>
        <v>-8.1147540983606561E-2</v>
      </c>
      <c r="O86" s="14"/>
      <c r="P86" s="2">
        <f>SUM(OSRRefP22_16x_0)</f>
        <v>6967.9</v>
      </c>
      <c r="Q86" s="2"/>
      <c r="R86" s="6">
        <f t="shared" si="16"/>
        <v>4.6160910325825106E-3</v>
      </c>
      <c r="S86" s="2"/>
      <c r="T86" s="2">
        <f>SUM(OSRRefT22_16x_0)</f>
        <v>6480</v>
      </c>
      <c r="U86" s="2"/>
      <c r="V86" s="6">
        <f t="shared" si="17"/>
        <v>3.1577408508357292E-3</v>
      </c>
      <c r="W86" s="2"/>
      <c r="X86" s="2">
        <f t="shared" si="18"/>
        <v>487.89999999999964</v>
      </c>
      <c r="Y86" s="2"/>
      <c r="Z86" s="6">
        <f t="shared" si="19"/>
        <v>7.5293209876543157E-2</v>
      </c>
    </row>
    <row r="87" spans="1:26" s="70" customFormat="1" ht="15" hidden="1" customHeight="1" outlineLevel="2" x14ac:dyDescent="0.25">
      <c r="A87" s="25"/>
      <c r="B87" s="12" t="str">
        <f>CONCATENATE("          ","6275"," - ","SUBSCRIPTIONS")</f>
        <v xml:space="preserve">          6275 - SUBSCRIPTIONS</v>
      </c>
      <c r="C87" s="12"/>
      <c r="D87" s="8">
        <v>560.5</v>
      </c>
      <c r="E87" s="3"/>
      <c r="F87" s="7">
        <f t="shared" si="12"/>
        <v>4.7121379713998034E-3</v>
      </c>
      <c r="G87" s="3"/>
      <c r="H87" s="8">
        <v>610</v>
      </c>
      <c r="I87" s="3"/>
      <c r="J87" s="7">
        <f t="shared" si="13"/>
        <v>2.4805218041933016E-3</v>
      </c>
      <c r="K87" s="3"/>
      <c r="L87" s="8">
        <f t="shared" si="14"/>
        <v>-49.5</v>
      </c>
      <c r="M87" s="3"/>
      <c r="N87" s="7">
        <f t="shared" si="15"/>
        <v>-8.1147540983606561E-2</v>
      </c>
      <c r="O87" s="12"/>
      <c r="P87" s="8">
        <v>6967.9</v>
      </c>
      <c r="Q87" s="3"/>
      <c r="R87" s="7">
        <f t="shared" si="16"/>
        <v>4.6160910325825106E-3</v>
      </c>
      <c r="S87" s="3"/>
      <c r="T87" s="8">
        <v>6480</v>
      </c>
      <c r="U87" s="3"/>
      <c r="V87" s="7">
        <f t="shared" si="17"/>
        <v>3.1577408508357292E-3</v>
      </c>
      <c r="W87" s="3"/>
      <c r="X87" s="8">
        <f t="shared" si="18"/>
        <v>487.89999999999964</v>
      </c>
      <c r="Y87" s="3"/>
      <c r="Z87" s="7">
        <f t="shared" si="19"/>
        <v>7.5293209876543157E-2</v>
      </c>
    </row>
    <row r="88" spans="1:26" s="69" customFormat="1" ht="15" customHeight="1" outlineLevel="1" collapsed="1" x14ac:dyDescent="0.25">
      <c r="A88" s="26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SUM(OSRRefD22_17x_0)</f>
        <v>2549.1</v>
      </c>
      <c r="E88" s="2"/>
      <c r="F88" s="6">
        <f t="shared" si="12"/>
        <v>2.1430349514532092E-2</v>
      </c>
      <c r="G88" s="2"/>
      <c r="H88" s="2">
        <f>SUM(OSRRefH22_17x_0)</f>
        <v>1225</v>
      </c>
      <c r="I88" s="2"/>
      <c r="J88" s="6">
        <f t="shared" si="13"/>
        <v>4.9813757543226145E-3</v>
      </c>
      <c r="K88" s="2"/>
      <c r="L88" s="2">
        <f t="shared" si="14"/>
        <v>1324.1</v>
      </c>
      <c r="M88" s="2"/>
      <c r="N88" s="6">
        <f t="shared" si="15"/>
        <v>1.0808979591836734</v>
      </c>
      <c r="O88" s="14"/>
      <c r="P88" s="2">
        <f>SUM(OSRRefP22_17x_0)</f>
        <v>36167.799999999996</v>
      </c>
      <c r="Q88" s="2"/>
      <c r="R88" s="6">
        <f t="shared" si="16"/>
        <v>2.396042670650235E-2</v>
      </c>
      <c r="S88" s="2"/>
      <c r="T88" s="2">
        <f>SUM(OSRRefT22_17x_0)</f>
        <v>29873</v>
      </c>
      <c r="U88" s="2"/>
      <c r="V88" s="6">
        <f t="shared" si="17"/>
        <v>1.4557282783490083E-2</v>
      </c>
      <c r="W88" s="2"/>
      <c r="X88" s="2">
        <f t="shared" si="18"/>
        <v>6294.7999999999956</v>
      </c>
      <c r="Y88" s="2"/>
      <c r="Z88" s="6">
        <f t="shared" si="19"/>
        <v>0.21071870920228955</v>
      </c>
    </row>
    <row r="89" spans="1:26" s="70" customFormat="1" ht="15" hidden="1" customHeight="1" outlineLevel="2" x14ac:dyDescent="0.25">
      <c r="A89" s="25"/>
      <c r="B89" s="12" t="str">
        <f>CONCATENATE("          ","6234"," - ","EXPENDABLE SUPPLIES &amp; EQUIPMEN")</f>
        <v xml:space="preserve">          6234 - EXPENDABLE SUPPLIES &amp; EQUIPMEN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341.84</v>
      </c>
      <c r="Q89" s="3"/>
      <c r="R89" s="7">
        <f t="shared" si="16"/>
        <v>2.2646199838947251E-4</v>
      </c>
      <c r="S89" s="3"/>
      <c r="T89" s="8"/>
      <c r="U89" s="3"/>
      <c r="V89" s="7">
        <f t="shared" si="17"/>
        <v>0</v>
      </c>
      <c r="W89" s="3"/>
      <c r="X89" s="8">
        <f t="shared" si="18"/>
        <v>341.84</v>
      </c>
      <c r="Y89" s="3"/>
      <c r="Z89" s="7">
        <f t="shared" si="19"/>
        <v>0</v>
      </c>
    </row>
    <row r="90" spans="1:26" s="70" customFormat="1" ht="15" hidden="1" customHeight="1" outlineLevel="2" x14ac:dyDescent="0.25">
      <c r="A90" s="25"/>
      <c r="B90" s="12" t="str">
        <f>CONCATENATE("          ","6235"," - ","COVID-19 EXPENSES")</f>
        <v xml:space="preserve">          6235 - COVID-19 EXPENSES</v>
      </c>
      <c r="C90" s="12"/>
      <c r="D90" s="8"/>
      <c r="E90" s="3"/>
      <c r="F90" s="7">
        <f t="shared" ref="F90:F108" si="20">IF(D$12=0,0,D90/D$12)</f>
        <v>0</v>
      </c>
      <c r="G90" s="3"/>
      <c r="H90" s="8">
        <v>250</v>
      </c>
      <c r="I90" s="3"/>
      <c r="J90" s="7">
        <f t="shared" ref="J90:J108" si="21">IF(H$12=0,0,H90/H$12)</f>
        <v>1.0166072968005335E-3</v>
      </c>
      <c r="K90" s="3"/>
      <c r="L90" s="8">
        <f t="shared" ref="L90:L108" si="22">+D90-H90</f>
        <v>-250</v>
      </c>
      <c r="M90" s="3"/>
      <c r="N90" s="7">
        <f t="shared" ref="N90:N108" si="23">IF(H90=0,0,L90/H90)</f>
        <v>-1</v>
      </c>
      <c r="O90" s="12"/>
      <c r="P90" s="8">
        <v>619.08000000000004</v>
      </c>
      <c r="Q90" s="3"/>
      <c r="R90" s="7">
        <f t="shared" ref="R90:R108" si="24">IF(P$12=0,0,P90/P$12)</f>
        <v>4.1012781992439345E-4</v>
      </c>
      <c r="S90" s="3"/>
      <c r="T90" s="8">
        <v>3000</v>
      </c>
      <c r="U90" s="3"/>
      <c r="V90" s="7">
        <f t="shared" ref="V90:V108" si="25">IF(T$12=0,0,T90/T$12)</f>
        <v>1.4619170605720969E-3</v>
      </c>
      <c r="W90" s="3"/>
      <c r="X90" s="8">
        <f t="shared" ref="X90:X108" si="26">+P90-T90</f>
        <v>-2380.92</v>
      </c>
      <c r="Y90" s="3"/>
      <c r="Z90" s="7">
        <f t="shared" ref="Z90:Z108" si="27">IF(T90=0,0,X90/T90)</f>
        <v>-0.79364000000000001</v>
      </c>
    </row>
    <row r="91" spans="1:26" s="70" customFormat="1" ht="15" hidden="1" customHeight="1" outlineLevel="2" x14ac:dyDescent="0.25">
      <c r="A91" s="25"/>
      <c r="B91" s="12" t="str">
        <f>CONCATENATE("          ","6237"," - ","JANITORIAL SUPPLIES")</f>
        <v xml:space="preserve">          6237 - JANITORIAL SUPPLIES</v>
      </c>
      <c r="C91" s="12"/>
      <c r="D91" s="8">
        <v>955.97</v>
      </c>
      <c r="E91" s="3"/>
      <c r="F91" s="7">
        <f t="shared" si="20"/>
        <v>8.0368644719341128E-3</v>
      </c>
      <c r="G91" s="3"/>
      <c r="H91" s="8">
        <v>225</v>
      </c>
      <c r="I91" s="3"/>
      <c r="J91" s="7">
        <f t="shared" si="21"/>
        <v>9.1494656712048017E-4</v>
      </c>
      <c r="K91" s="3"/>
      <c r="L91" s="8">
        <f t="shared" si="22"/>
        <v>730.97</v>
      </c>
      <c r="M91" s="3"/>
      <c r="N91" s="7">
        <f t="shared" si="23"/>
        <v>3.2487555555555558</v>
      </c>
      <c r="O91" s="12"/>
      <c r="P91" s="8">
        <v>8783.73</v>
      </c>
      <c r="Q91" s="3"/>
      <c r="R91" s="7">
        <f t="shared" si="24"/>
        <v>5.8190412155205984E-3</v>
      </c>
      <c r="S91" s="3"/>
      <c r="T91" s="8">
        <v>3953</v>
      </c>
      <c r="U91" s="3"/>
      <c r="V91" s="7">
        <f t="shared" si="25"/>
        <v>1.9263193801471663E-3</v>
      </c>
      <c r="W91" s="3"/>
      <c r="X91" s="8">
        <f t="shared" si="26"/>
        <v>4830.7299999999996</v>
      </c>
      <c r="Y91" s="3"/>
      <c r="Z91" s="7">
        <f t="shared" si="27"/>
        <v>1.2220414874778649</v>
      </c>
    </row>
    <row r="92" spans="1:26" s="70" customFormat="1" ht="15" hidden="1" customHeight="1" outlineLevel="2" x14ac:dyDescent="0.25">
      <c r="A92" s="25"/>
      <c r="B92" s="12" t="str">
        <f>CONCATENATE("          ","6239"," - ","KITCHEN SUPPLIES")</f>
        <v xml:space="preserve">          6239 - KITCHEN SUPPLIES</v>
      </c>
      <c r="C92" s="12"/>
      <c r="D92" s="8">
        <v>498.34</v>
      </c>
      <c r="E92" s="3"/>
      <c r="F92" s="7">
        <f t="shared" si="20"/>
        <v>4.189557246507364E-3</v>
      </c>
      <c r="G92" s="3"/>
      <c r="H92" s="8"/>
      <c r="I92" s="3"/>
      <c r="J92" s="7">
        <f t="shared" si="21"/>
        <v>0</v>
      </c>
      <c r="K92" s="3"/>
      <c r="L92" s="8">
        <f t="shared" si="22"/>
        <v>498.34</v>
      </c>
      <c r="M92" s="3"/>
      <c r="N92" s="7">
        <f t="shared" si="23"/>
        <v>0</v>
      </c>
      <c r="O92" s="12"/>
      <c r="P92" s="8">
        <v>9426.49</v>
      </c>
      <c r="Q92" s="3"/>
      <c r="R92" s="7">
        <f t="shared" si="24"/>
        <v>6.2448565504282082E-3</v>
      </c>
      <c r="S92" s="3"/>
      <c r="T92" s="8">
        <v>5349</v>
      </c>
      <c r="U92" s="3"/>
      <c r="V92" s="7">
        <f t="shared" si="25"/>
        <v>2.6065981190000489E-3</v>
      </c>
      <c r="W92" s="3"/>
      <c r="X92" s="8">
        <f t="shared" si="26"/>
        <v>4077.49</v>
      </c>
      <c r="Y92" s="3"/>
      <c r="Z92" s="7">
        <f t="shared" si="27"/>
        <v>0.76229014769115722</v>
      </c>
    </row>
    <row r="93" spans="1:26" s="70" customFormat="1" ht="15" hidden="1" customHeight="1" outlineLevel="2" x14ac:dyDescent="0.25">
      <c r="A93" s="25"/>
      <c r="B93" s="12" t="str">
        <f>CONCATENATE("          ","6241"," - ","OFFICE EXPENSE")</f>
        <v xml:space="preserve">          6241 - OFFICE EXPENSE</v>
      </c>
      <c r="C93" s="12"/>
      <c r="D93" s="8"/>
      <c r="E93" s="3"/>
      <c r="F93" s="7">
        <f t="shared" si="20"/>
        <v>0</v>
      </c>
      <c r="G93" s="3"/>
      <c r="H93" s="8">
        <v>50</v>
      </c>
      <c r="I93" s="3"/>
      <c r="J93" s="7">
        <f t="shared" si="21"/>
        <v>2.0332145936010672E-4</v>
      </c>
      <c r="K93" s="3"/>
      <c r="L93" s="8">
        <f t="shared" si="22"/>
        <v>-50</v>
      </c>
      <c r="M93" s="3"/>
      <c r="N93" s="7">
        <f t="shared" si="23"/>
        <v>-1</v>
      </c>
      <c r="O93" s="12"/>
      <c r="P93" s="8">
        <v>7613.4</v>
      </c>
      <c r="Q93" s="3"/>
      <c r="R93" s="7">
        <f t="shared" si="24"/>
        <v>5.0437215613690911E-3</v>
      </c>
      <c r="S93" s="3"/>
      <c r="T93" s="8">
        <v>3227</v>
      </c>
      <c r="U93" s="3"/>
      <c r="V93" s="7">
        <f t="shared" si="25"/>
        <v>1.5725354514887189E-3</v>
      </c>
      <c r="W93" s="3"/>
      <c r="X93" s="8">
        <f t="shared" si="26"/>
        <v>4386.3999999999996</v>
      </c>
      <c r="Y93" s="3"/>
      <c r="Z93" s="7">
        <f t="shared" si="27"/>
        <v>1.3592810660055779</v>
      </c>
    </row>
    <row r="94" spans="1:26" s="70" customFormat="1" ht="15" hidden="1" customHeight="1" outlineLevel="2" x14ac:dyDescent="0.25">
      <c r="A94" s="25"/>
      <c r="B94" s="12" t="str">
        <f>CONCATENATE("          ","6243"," - ","PAPER SUPPLIES")</f>
        <v xml:space="preserve">          6243 - PAPER SUPPLIES</v>
      </c>
      <c r="C94" s="12"/>
      <c r="D94" s="8">
        <v>210.79</v>
      </c>
      <c r="E94" s="3"/>
      <c r="F94" s="7">
        <f t="shared" si="20"/>
        <v>1.7721169723307127E-3</v>
      </c>
      <c r="G94" s="3"/>
      <c r="H94" s="8">
        <v>600</v>
      </c>
      <c r="I94" s="3"/>
      <c r="J94" s="7">
        <f t="shared" si="21"/>
        <v>2.4398575123212806E-3</v>
      </c>
      <c r="K94" s="3"/>
      <c r="L94" s="8">
        <f t="shared" si="22"/>
        <v>-389.21000000000004</v>
      </c>
      <c r="M94" s="3"/>
      <c r="N94" s="7">
        <f t="shared" si="23"/>
        <v>-0.64868333333333339</v>
      </c>
      <c r="O94" s="12"/>
      <c r="P94" s="8">
        <v>3482.22</v>
      </c>
      <c r="Q94" s="3"/>
      <c r="R94" s="7">
        <f t="shared" si="24"/>
        <v>2.3068994267253363E-3</v>
      </c>
      <c r="S94" s="3"/>
      <c r="T94" s="8">
        <v>8033</v>
      </c>
      <c r="U94" s="3"/>
      <c r="V94" s="7">
        <f t="shared" si="25"/>
        <v>3.9145265825252179E-3</v>
      </c>
      <c r="W94" s="3"/>
      <c r="X94" s="8">
        <f t="shared" si="26"/>
        <v>-4550.7800000000007</v>
      </c>
      <c r="Y94" s="3"/>
      <c r="Z94" s="7">
        <f t="shared" si="27"/>
        <v>-0.56651064359517</v>
      </c>
    </row>
    <row r="95" spans="1:26" s="70" customFormat="1" ht="15" hidden="1" customHeight="1" outlineLevel="2" x14ac:dyDescent="0.25">
      <c r="A95" s="25"/>
      <c r="B95" s="12" t="str">
        <f>CONCATENATE("          ","6244"," - ","SAFETY SUPPLY EXPENSE")</f>
        <v xml:space="preserve">          6244 - SAFETY SUPPLY EXPENSE</v>
      </c>
      <c r="C95" s="12"/>
      <c r="D95" s="8"/>
      <c r="E95" s="3"/>
      <c r="F95" s="7">
        <f t="shared" si="20"/>
        <v>0</v>
      </c>
      <c r="G95" s="3"/>
      <c r="H95" s="8"/>
      <c r="I95" s="3"/>
      <c r="J95" s="7">
        <f t="shared" si="21"/>
        <v>0</v>
      </c>
      <c r="K95" s="3"/>
      <c r="L95" s="8">
        <f t="shared" si="22"/>
        <v>0</v>
      </c>
      <c r="M95" s="3"/>
      <c r="N95" s="7">
        <f t="shared" si="23"/>
        <v>0</v>
      </c>
      <c r="O95" s="12"/>
      <c r="P95" s="8"/>
      <c r="Q95" s="3"/>
      <c r="R95" s="7">
        <f t="shared" si="24"/>
        <v>0</v>
      </c>
      <c r="S95" s="3"/>
      <c r="T95" s="8">
        <v>150</v>
      </c>
      <c r="U95" s="3"/>
      <c r="V95" s="7">
        <f t="shared" si="25"/>
        <v>7.3095853028604842E-5</v>
      </c>
      <c r="W95" s="3"/>
      <c r="X95" s="8">
        <f t="shared" si="26"/>
        <v>-150</v>
      </c>
      <c r="Y95" s="3"/>
      <c r="Z95" s="7">
        <f t="shared" si="27"/>
        <v>-1</v>
      </c>
    </row>
    <row r="96" spans="1:26" s="70" customFormat="1" ht="15" hidden="1" customHeight="1" outlineLevel="2" x14ac:dyDescent="0.25">
      <c r="A96" s="25"/>
      <c r="B96" s="12" t="str">
        <f>CONCATENATE("          ","6245"," - ","PRINTING")</f>
        <v xml:space="preserve">          6245 - PRINTING</v>
      </c>
      <c r="C96" s="12"/>
      <c r="D96" s="8"/>
      <c r="E96" s="3"/>
      <c r="F96" s="7">
        <f t="shared" si="20"/>
        <v>0</v>
      </c>
      <c r="G96" s="3"/>
      <c r="H96" s="8">
        <v>100</v>
      </c>
      <c r="I96" s="3"/>
      <c r="J96" s="7">
        <f t="shared" si="21"/>
        <v>4.0664291872021343E-4</v>
      </c>
      <c r="K96" s="3"/>
      <c r="L96" s="8">
        <f t="shared" si="22"/>
        <v>-100</v>
      </c>
      <c r="M96" s="3"/>
      <c r="N96" s="7">
        <f t="shared" si="23"/>
        <v>-1</v>
      </c>
      <c r="O96" s="12"/>
      <c r="P96" s="8">
        <v>1071</v>
      </c>
      <c r="Q96" s="3"/>
      <c r="R96" s="7">
        <f t="shared" si="24"/>
        <v>7.0951556364125051E-4</v>
      </c>
      <c r="S96" s="3"/>
      <c r="T96" s="8">
        <v>1900</v>
      </c>
      <c r="U96" s="3"/>
      <c r="V96" s="7">
        <f t="shared" si="25"/>
        <v>9.2588080502899466E-4</v>
      </c>
      <c r="W96" s="3"/>
      <c r="X96" s="8">
        <f t="shared" si="26"/>
        <v>-829</v>
      </c>
      <c r="Y96" s="3"/>
      <c r="Z96" s="7">
        <f t="shared" si="27"/>
        <v>-0.43631578947368421</v>
      </c>
    </row>
    <row r="97" spans="1:26" s="70" customFormat="1" ht="15" hidden="1" customHeight="1" outlineLevel="2" x14ac:dyDescent="0.25">
      <c r="A97" s="25"/>
      <c r="B97" s="12" t="str">
        <f>CONCATENATE("          ","6247"," - ","STORE SUPPLIES")</f>
        <v xml:space="preserve">          6247 - STORE SUPPLIES</v>
      </c>
      <c r="C97" s="12"/>
      <c r="D97" s="8">
        <v>884</v>
      </c>
      <c r="E97" s="3"/>
      <c r="F97" s="7">
        <f t="shared" si="20"/>
        <v>7.4318108237599037E-3</v>
      </c>
      <c r="G97" s="3"/>
      <c r="H97" s="8"/>
      <c r="I97" s="3"/>
      <c r="J97" s="7">
        <f t="shared" si="21"/>
        <v>0</v>
      </c>
      <c r="K97" s="3"/>
      <c r="L97" s="8">
        <f t="shared" si="22"/>
        <v>884</v>
      </c>
      <c r="M97" s="3"/>
      <c r="N97" s="7">
        <f t="shared" si="23"/>
        <v>0</v>
      </c>
      <c r="O97" s="12"/>
      <c r="P97" s="8">
        <v>1841.59</v>
      </c>
      <c r="Q97" s="3"/>
      <c r="R97" s="7">
        <f t="shared" si="24"/>
        <v>1.2200156553184786E-3</v>
      </c>
      <c r="S97" s="3"/>
      <c r="T97" s="8">
        <v>411</v>
      </c>
      <c r="U97" s="3"/>
      <c r="V97" s="7">
        <f t="shared" si="25"/>
        <v>2.0028263729837727E-4</v>
      </c>
      <c r="W97" s="3"/>
      <c r="X97" s="8">
        <f t="shared" si="26"/>
        <v>1430.59</v>
      </c>
      <c r="Y97" s="3"/>
      <c r="Z97" s="7">
        <f t="shared" si="27"/>
        <v>3.4807542579075426</v>
      </c>
    </row>
    <row r="98" spans="1:26" s="70" customFormat="1" ht="15" hidden="1" customHeight="1" outlineLevel="2" x14ac:dyDescent="0.25">
      <c r="A98" s="25"/>
      <c r="B98" s="12" t="str">
        <f>CONCATENATE("          ","6248"," - ","UNIFORMS")</f>
        <v xml:space="preserve">          6248 - UNIFORMS</v>
      </c>
      <c r="C98" s="12"/>
      <c r="D98" s="8"/>
      <c r="E98" s="3"/>
      <c r="F98" s="7">
        <f t="shared" si="20"/>
        <v>0</v>
      </c>
      <c r="G98" s="3"/>
      <c r="H98" s="8"/>
      <c r="I98" s="3"/>
      <c r="J98" s="7">
        <f t="shared" si="21"/>
        <v>0</v>
      </c>
      <c r="K98" s="3"/>
      <c r="L98" s="8">
        <f t="shared" si="22"/>
        <v>0</v>
      </c>
      <c r="M98" s="3"/>
      <c r="N98" s="7">
        <f t="shared" si="23"/>
        <v>0</v>
      </c>
      <c r="O98" s="12"/>
      <c r="P98" s="8">
        <v>2988.45</v>
      </c>
      <c r="Q98" s="3"/>
      <c r="R98" s="7">
        <f t="shared" si="24"/>
        <v>1.9797869151855227E-3</v>
      </c>
      <c r="S98" s="3"/>
      <c r="T98" s="8">
        <v>3850</v>
      </c>
      <c r="U98" s="3"/>
      <c r="V98" s="7">
        <f t="shared" si="25"/>
        <v>1.8761268944008577E-3</v>
      </c>
      <c r="W98" s="3"/>
      <c r="X98" s="8">
        <f t="shared" si="26"/>
        <v>-861.55000000000018</v>
      </c>
      <c r="Y98" s="3"/>
      <c r="Z98" s="7">
        <f t="shared" si="27"/>
        <v>-0.22377922077922083</v>
      </c>
    </row>
    <row r="99" spans="1:26" s="69" customFormat="1" ht="15" customHeight="1" outlineLevel="1" collapsed="1" x14ac:dyDescent="0.25">
      <c r="A99" s="26"/>
      <c r="B99" s="14" t="str">
        <f>CONCATENATE("     ","Telephone/Data Lines                              ")</f>
        <v xml:space="preserve">     Telephone/Data Lines                              </v>
      </c>
      <c r="C99" s="14"/>
      <c r="D99" s="2">
        <f>SUM(OSRRefD22_18x_0)</f>
        <v>661.85</v>
      </c>
      <c r="E99" s="2"/>
      <c r="F99" s="6">
        <f t="shared" si="20"/>
        <v>5.5641900381283851E-3</v>
      </c>
      <c r="G99" s="2"/>
      <c r="H99" s="2">
        <f>SUM(OSRRefH22_18x_0)</f>
        <v>510</v>
      </c>
      <c r="I99" s="2"/>
      <c r="J99" s="6">
        <f t="shared" si="21"/>
        <v>2.0738788854730884E-3</v>
      </c>
      <c r="K99" s="2"/>
      <c r="L99" s="2">
        <f t="shared" si="22"/>
        <v>151.85000000000002</v>
      </c>
      <c r="M99" s="2"/>
      <c r="N99" s="6">
        <f t="shared" si="23"/>
        <v>0.29774509803921573</v>
      </c>
      <c r="O99" s="14"/>
      <c r="P99" s="2">
        <f>SUM(OSRRefP22_18x_0)</f>
        <v>7588.39</v>
      </c>
      <c r="Q99" s="2"/>
      <c r="R99" s="6">
        <f t="shared" si="24"/>
        <v>5.0271529486271048E-3</v>
      </c>
      <c r="S99" s="2"/>
      <c r="T99" s="2">
        <f>SUM(OSRRefT22_18x_0)</f>
        <v>4560</v>
      </c>
      <c r="U99" s="2"/>
      <c r="V99" s="6">
        <f t="shared" si="25"/>
        <v>2.2221139320695873E-3</v>
      </c>
      <c r="W99" s="2"/>
      <c r="X99" s="2">
        <f t="shared" si="26"/>
        <v>3028.3900000000003</v>
      </c>
      <c r="Y99" s="2"/>
      <c r="Z99" s="6">
        <f t="shared" si="27"/>
        <v>0.66412061403508782</v>
      </c>
    </row>
    <row r="100" spans="1:26" s="70" customFormat="1" ht="15" hidden="1" customHeight="1" outlineLevel="2" x14ac:dyDescent="0.25">
      <c r="A100" s="25"/>
      <c r="B100" s="12" t="str">
        <f>CONCATENATE("          ","6303"," - ","DATA PHONE LINES")</f>
        <v xml:space="preserve">          6303 - DATA PHONE LINES</v>
      </c>
      <c r="C100" s="12"/>
      <c r="D100" s="8"/>
      <c r="E100" s="3"/>
      <c r="F100" s="7">
        <f t="shared" si="20"/>
        <v>0</v>
      </c>
      <c r="G100" s="3"/>
      <c r="H100" s="8">
        <v>135</v>
      </c>
      <c r="I100" s="3"/>
      <c r="J100" s="7">
        <f t="shared" si="21"/>
        <v>5.4896794027228812E-4</v>
      </c>
      <c r="K100" s="3"/>
      <c r="L100" s="8">
        <f t="shared" si="22"/>
        <v>-135</v>
      </c>
      <c r="M100" s="3"/>
      <c r="N100" s="7">
        <f t="shared" si="23"/>
        <v>-1</v>
      </c>
      <c r="O100" s="12"/>
      <c r="P100" s="8"/>
      <c r="Q100" s="3"/>
      <c r="R100" s="7">
        <f t="shared" si="24"/>
        <v>0</v>
      </c>
      <c r="S100" s="3"/>
      <c r="T100" s="8">
        <v>1485</v>
      </c>
      <c r="U100" s="3"/>
      <c r="V100" s="7">
        <f t="shared" si="25"/>
        <v>7.2364894498318797E-4</v>
      </c>
      <c r="W100" s="3"/>
      <c r="X100" s="8">
        <f t="shared" si="26"/>
        <v>-1485</v>
      </c>
      <c r="Y100" s="3"/>
      <c r="Z100" s="7">
        <f t="shared" si="27"/>
        <v>-1</v>
      </c>
    </row>
    <row r="101" spans="1:26" s="70" customFormat="1" ht="15" hidden="1" customHeight="1" outlineLevel="2" x14ac:dyDescent="0.25">
      <c r="A101" s="25"/>
      <c r="B101" s="12" t="str">
        <f>CONCATENATE("          ","6309"," - ","TELEPHONE")</f>
        <v xml:space="preserve">          6309 - TELEPHONE</v>
      </c>
      <c r="C101" s="12"/>
      <c r="D101" s="8">
        <v>661.85</v>
      </c>
      <c r="E101" s="3"/>
      <c r="F101" s="7">
        <f t="shared" si="20"/>
        <v>5.5641900381283851E-3</v>
      </c>
      <c r="G101" s="3"/>
      <c r="H101" s="8">
        <v>375</v>
      </c>
      <c r="I101" s="3"/>
      <c r="J101" s="7">
        <f t="shared" si="21"/>
        <v>1.5249109452008002E-3</v>
      </c>
      <c r="K101" s="3"/>
      <c r="L101" s="8">
        <f t="shared" si="22"/>
        <v>286.85000000000002</v>
      </c>
      <c r="M101" s="3"/>
      <c r="N101" s="7">
        <f t="shared" si="23"/>
        <v>0.76493333333333335</v>
      </c>
      <c r="O101" s="12"/>
      <c r="P101" s="8">
        <v>7588.39</v>
      </c>
      <c r="Q101" s="3"/>
      <c r="R101" s="7">
        <f t="shared" si="24"/>
        <v>5.0271529486271048E-3</v>
      </c>
      <c r="S101" s="3"/>
      <c r="T101" s="8">
        <v>3075</v>
      </c>
      <c r="U101" s="3"/>
      <c r="V101" s="7">
        <f t="shared" si="25"/>
        <v>1.4984649870863993E-3</v>
      </c>
      <c r="W101" s="3"/>
      <c r="X101" s="8">
        <f t="shared" si="26"/>
        <v>4513.3900000000003</v>
      </c>
      <c r="Y101" s="3"/>
      <c r="Z101" s="7">
        <f t="shared" si="27"/>
        <v>1.4677691056910571</v>
      </c>
    </row>
    <row r="102" spans="1:26" s="69" customFormat="1" ht="15" customHeight="1" outlineLevel="1" collapsed="1" x14ac:dyDescent="0.25">
      <c r="A102" s="26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SUM(OSRRefD22_19x_0)</f>
        <v>0</v>
      </c>
      <c r="E102" s="2"/>
      <c r="F102" s="6">
        <f t="shared" si="20"/>
        <v>0</v>
      </c>
      <c r="G102" s="2"/>
      <c r="H102" s="2">
        <f>SUM(OSRRefH22_19x_0)</f>
        <v>0</v>
      </c>
      <c r="I102" s="2"/>
      <c r="J102" s="6">
        <f t="shared" si="21"/>
        <v>0</v>
      </c>
      <c r="K102" s="2"/>
      <c r="L102" s="2">
        <f t="shared" si="22"/>
        <v>0</v>
      </c>
      <c r="M102" s="2"/>
      <c r="N102" s="6">
        <f t="shared" si="23"/>
        <v>0</v>
      </c>
      <c r="O102" s="14"/>
      <c r="P102" s="2">
        <f>SUM(OSRRefP22_19x_0)</f>
        <v>495.95</v>
      </c>
      <c r="Q102" s="2"/>
      <c r="R102" s="6">
        <f t="shared" si="24"/>
        <v>3.2855671688877515E-4</v>
      </c>
      <c r="S102" s="2"/>
      <c r="T102" s="2">
        <f>SUM(OSRRefT22_19x_0)</f>
        <v>5160</v>
      </c>
      <c r="U102" s="2"/>
      <c r="V102" s="6">
        <f t="shared" si="25"/>
        <v>2.5144973441840065E-3</v>
      </c>
      <c r="W102" s="2"/>
      <c r="X102" s="2">
        <f t="shared" si="26"/>
        <v>-4664.05</v>
      </c>
      <c r="Y102" s="2"/>
      <c r="Z102" s="6">
        <f t="shared" si="27"/>
        <v>-0.90388565891472872</v>
      </c>
    </row>
    <row r="103" spans="1:26" s="70" customFormat="1" ht="15" hidden="1" customHeight="1" outlineLevel="2" x14ac:dyDescent="0.25">
      <c r="A103" s="25"/>
      <c r="B103" s="12" t="str">
        <f>CONCATENATE("          ","6376"," - ","TRAINING")</f>
        <v xml:space="preserve">          6376 - TRAINING</v>
      </c>
      <c r="C103" s="12"/>
      <c r="D103" s="8"/>
      <c r="E103" s="3"/>
      <c r="F103" s="7">
        <f t="shared" si="20"/>
        <v>0</v>
      </c>
      <c r="G103" s="3"/>
      <c r="H103" s="8"/>
      <c r="I103" s="3"/>
      <c r="J103" s="7">
        <f t="shared" si="21"/>
        <v>0</v>
      </c>
      <c r="K103" s="3"/>
      <c r="L103" s="8">
        <f t="shared" si="22"/>
        <v>0</v>
      </c>
      <c r="M103" s="3"/>
      <c r="N103" s="7">
        <f t="shared" si="23"/>
        <v>0</v>
      </c>
      <c r="O103" s="12"/>
      <c r="P103" s="8">
        <v>495.95</v>
      </c>
      <c r="Q103" s="3"/>
      <c r="R103" s="7">
        <f t="shared" si="24"/>
        <v>3.2855671688877515E-4</v>
      </c>
      <c r="S103" s="3"/>
      <c r="T103" s="8">
        <v>5160</v>
      </c>
      <c r="U103" s="3"/>
      <c r="V103" s="7">
        <f t="shared" si="25"/>
        <v>2.5144973441840065E-3</v>
      </c>
      <c r="W103" s="3"/>
      <c r="X103" s="8">
        <f t="shared" si="26"/>
        <v>-4664.05</v>
      </c>
      <c r="Y103" s="3"/>
      <c r="Z103" s="7">
        <f t="shared" si="27"/>
        <v>-0.90388565891472872</v>
      </c>
    </row>
    <row r="104" spans="1:26" s="69" customFormat="1" ht="15" customHeight="1" outlineLevel="1" collapsed="1" x14ac:dyDescent="0.25">
      <c r="A104" s="26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SUM(OSRRefD22_20x_0)</f>
        <v>0</v>
      </c>
      <c r="E104" s="2"/>
      <c r="F104" s="6">
        <f t="shared" si="20"/>
        <v>0</v>
      </c>
      <c r="G104" s="2"/>
      <c r="H104" s="2">
        <f>SUM(OSRRefH22_20x_0)</f>
        <v>0</v>
      </c>
      <c r="I104" s="2"/>
      <c r="J104" s="6">
        <f t="shared" si="21"/>
        <v>0</v>
      </c>
      <c r="K104" s="2"/>
      <c r="L104" s="2">
        <f t="shared" si="22"/>
        <v>0</v>
      </c>
      <c r="M104" s="2"/>
      <c r="N104" s="6">
        <f t="shared" si="23"/>
        <v>0</v>
      </c>
      <c r="O104" s="14"/>
      <c r="P104" s="2">
        <f>SUM(OSRRefP22_20x_0)</f>
        <v>141.24</v>
      </c>
      <c r="Q104" s="2"/>
      <c r="R104" s="6">
        <f t="shared" si="24"/>
        <v>9.3568607104285934E-5</v>
      </c>
      <c r="S104" s="2"/>
      <c r="T104" s="2">
        <f>SUM(OSRRefT22_20x_0)</f>
        <v>1200</v>
      </c>
      <c r="U104" s="2"/>
      <c r="V104" s="6">
        <f t="shared" si="25"/>
        <v>5.8476682422883874E-4</v>
      </c>
      <c r="W104" s="2"/>
      <c r="X104" s="2">
        <f t="shared" si="26"/>
        <v>-1058.76</v>
      </c>
      <c r="Y104" s="2"/>
      <c r="Z104" s="6">
        <f t="shared" si="27"/>
        <v>-0.88229999999999997</v>
      </c>
    </row>
    <row r="105" spans="1:26" s="70" customFormat="1" ht="15" hidden="1" customHeight="1" outlineLevel="2" x14ac:dyDescent="0.25">
      <c r="A105" s="25"/>
      <c r="B105" s="12" t="str">
        <f>CONCATENATE("          ","6292"," - ","TRAVEL/CONFERENCE")</f>
        <v xml:space="preserve">          6292 - TRAVEL/CONFERENCE</v>
      </c>
      <c r="C105" s="12"/>
      <c r="D105" s="8"/>
      <c r="E105" s="3"/>
      <c r="F105" s="7">
        <f t="shared" si="20"/>
        <v>0</v>
      </c>
      <c r="G105" s="3"/>
      <c r="H105" s="8"/>
      <c r="I105" s="3"/>
      <c r="J105" s="7">
        <f t="shared" si="21"/>
        <v>0</v>
      </c>
      <c r="K105" s="3"/>
      <c r="L105" s="8">
        <f t="shared" si="22"/>
        <v>0</v>
      </c>
      <c r="M105" s="3"/>
      <c r="N105" s="7">
        <f t="shared" si="23"/>
        <v>0</v>
      </c>
      <c r="O105" s="12"/>
      <c r="P105" s="8">
        <v>18.59</v>
      </c>
      <c r="Q105" s="3"/>
      <c r="R105" s="7">
        <f t="shared" si="24"/>
        <v>1.2315494237246356E-5</v>
      </c>
      <c r="S105" s="3"/>
      <c r="T105" s="8">
        <v>1200</v>
      </c>
      <c r="U105" s="3"/>
      <c r="V105" s="7">
        <f t="shared" si="25"/>
        <v>5.8476682422883874E-4</v>
      </c>
      <c r="W105" s="3"/>
      <c r="X105" s="8">
        <f t="shared" si="26"/>
        <v>-1181.4100000000001</v>
      </c>
      <c r="Y105" s="3"/>
      <c r="Z105" s="7">
        <f t="shared" si="27"/>
        <v>-0.98450833333333343</v>
      </c>
    </row>
    <row r="106" spans="1:26" s="70" customFormat="1" ht="15" hidden="1" customHeight="1" outlineLevel="2" x14ac:dyDescent="0.25">
      <c r="A106" s="25"/>
      <c r="B106" s="12" t="str">
        <f>CONCATENATE("          ","6298"," - ","VEHICLE MILEAGE")</f>
        <v xml:space="preserve">          6298 - VEHICLE MILEAGE</v>
      </c>
      <c r="C106" s="12"/>
      <c r="D106" s="8"/>
      <c r="E106" s="3"/>
      <c r="F106" s="7">
        <f t="shared" si="20"/>
        <v>0</v>
      </c>
      <c r="G106" s="3"/>
      <c r="H106" s="8"/>
      <c r="I106" s="3"/>
      <c r="J106" s="7">
        <f t="shared" si="21"/>
        <v>0</v>
      </c>
      <c r="K106" s="3"/>
      <c r="L106" s="8">
        <f t="shared" si="22"/>
        <v>0</v>
      </c>
      <c r="M106" s="3"/>
      <c r="N106" s="7">
        <f t="shared" si="23"/>
        <v>0</v>
      </c>
      <c r="O106" s="12"/>
      <c r="P106" s="8">
        <v>122.65</v>
      </c>
      <c r="Q106" s="3"/>
      <c r="R106" s="7">
        <f t="shared" si="24"/>
        <v>8.125311286703957E-5</v>
      </c>
      <c r="S106" s="3"/>
      <c r="T106" s="8"/>
      <c r="U106" s="3"/>
      <c r="V106" s="7">
        <f t="shared" si="25"/>
        <v>0</v>
      </c>
      <c r="W106" s="3"/>
      <c r="X106" s="8">
        <f t="shared" si="26"/>
        <v>122.65</v>
      </c>
      <c r="Y106" s="3"/>
      <c r="Z106" s="7">
        <f t="shared" si="27"/>
        <v>0</v>
      </c>
    </row>
    <row r="107" spans="1:26" s="69" customFormat="1" ht="15" customHeight="1" outlineLevel="1" collapsed="1" x14ac:dyDescent="0.25">
      <c r="A107" s="26"/>
      <c r="B107" s="14" t="str">
        <f>CONCATENATE("     ","Utilities                                         ")</f>
        <v xml:space="preserve">     Utilities                                         </v>
      </c>
      <c r="C107" s="14"/>
      <c r="D107" s="2">
        <f>SUM(OSRRefD22_21x_0)</f>
        <v>29161.68</v>
      </c>
      <c r="E107" s="2"/>
      <c r="F107" s="6">
        <f t="shared" si="20"/>
        <v>0.24516299667762748</v>
      </c>
      <c r="G107" s="2"/>
      <c r="H107" s="2">
        <f>SUM(OSRRefH22_21x_0)</f>
        <v>8667</v>
      </c>
      <c r="I107" s="2"/>
      <c r="J107" s="6">
        <f t="shared" si="21"/>
        <v>3.5243741765480896E-2</v>
      </c>
      <c r="K107" s="2"/>
      <c r="L107" s="2">
        <f t="shared" si="22"/>
        <v>20494.68</v>
      </c>
      <c r="M107" s="2"/>
      <c r="N107" s="6">
        <f t="shared" si="23"/>
        <v>2.364679820006923</v>
      </c>
      <c r="O107" s="14"/>
      <c r="P107" s="2">
        <f>SUM(OSRRefP22_21x_0)</f>
        <v>108261.68</v>
      </c>
      <c r="Q107" s="2"/>
      <c r="R107" s="6">
        <f t="shared" si="24"/>
        <v>7.1721145570446954E-2</v>
      </c>
      <c r="S107" s="2"/>
      <c r="T107" s="2">
        <f>SUM(OSRRefT22_21x_0)</f>
        <v>95337</v>
      </c>
      <c r="U107" s="2"/>
      <c r="V107" s="6">
        <f t="shared" si="25"/>
        <v>4.6458262267920665E-2</v>
      </c>
      <c r="W107" s="2"/>
      <c r="X107" s="2">
        <f t="shared" si="26"/>
        <v>12924.679999999993</v>
      </c>
      <c r="Y107" s="2"/>
      <c r="Z107" s="6">
        <f t="shared" si="27"/>
        <v>0.1355683522661715</v>
      </c>
    </row>
    <row r="108" spans="1:26" s="70" customFormat="1" ht="15" hidden="1" customHeight="1" outlineLevel="2" x14ac:dyDescent="0.25">
      <c r="A108" s="25"/>
      <c r="B108" s="12" t="str">
        <f>CONCATENATE("          ","6274"," - ","UTILITIES")</f>
        <v xml:space="preserve">          6274 - UTILITIES</v>
      </c>
      <c r="C108" s="12"/>
      <c r="D108" s="8">
        <v>29161.68</v>
      </c>
      <c r="E108" s="3"/>
      <c r="F108" s="7">
        <f t="shared" si="20"/>
        <v>0.24516299667762748</v>
      </c>
      <c r="G108" s="3"/>
      <c r="H108" s="8">
        <v>8667</v>
      </c>
      <c r="I108" s="3"/>
      <c r="J108" s="7">
        <f t="shared" si="21"/>
        <v>3.5243741765480896E-2</v>
      </c>
      <c r="K108" s="3"/>
      <c r="L108" s="8">
        <f t="shared" si="22"/>
        <v>20494.68</v>
      </c>
      <c r="M108" s="3"/>
      <c r="N108" s="7">
        <f t="shared" si="23"/>
        <v>2.364679820006923</v>
      </c>
      <c r="O108" s="12"/>
      <c r="P108" s="8">
        <v>108261.68</v>
      </c>
      <c r="Q108" s="3"/>
      <c r="R108" s="7">
        <f t="shared" si="24"/>
        <v>7.1721145570446954E-2</v>
      </c>
      <c r="S108" s="3"/>
      <c r="T108" s="8">
        <v>95337</v>
      </c>
      <c r="U108" s="3"/>
      <c r="V108" s="7">
        <f t="shared" si="25"/>
        <v>4.6458262267920665E-2</v>
      </c>
      <c r="W108" s="3"/>
      <c r="X108" s="8">
        <f t="shared" si="26"/>
        <v>12924.679999999993</v>
      </c>
      <c r="Y108" s="3"/>
      <c r="Z108" s="7">
        <f t="shared" si="27"/>
        <v>0.1355683522661715</v>
      </c>
    </row>
    <row r="109" spans="1:26" s="65" customFormat="1" ht="15" customHeight="1" x14ac:dyDescent="0.25">
      <c r="A109" s="35"/>
      <c r="B109" s="35"/>
      <c r="C109" s="35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35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63" customFormat="1" ht="15" customHeight="1" collapsed="1" x14ac:dyDescent="0.25">
      <c r="A110" s="11"/>
      <c r="B110" s="27" t="s">
        <v>291</v>
      </c>
      <c r="C110" s="11"/>
      <c r="D110" s="5">
        <f>SUM(OSRRefD25x_0)</f>
        <v>32749.34</v>
      </c>
      <c r="E110" s="5"/>
      <c r="F110" s="13">
        <f>IF(D$12=0,0,D110/D$12)</f>
        <v>0.27532454692646285</v>
      </c>
      <c r="G110" s="5"/>
      <c r="H110" s="5">
        <f>SUM(OSRRefH25x_0)</f>
        <v>29120.489999999998</v>
      </c>
      <c r="I110" s="5"/>
      <c r="J110" s="13">
        <f>IF(H$12=0,0,H110/H$12)</f>
        <v>0.11841641048162786</v>
      </c>
      <c r="K110" s="5"/>
      <c r="L110" s="5">
        <f>+D110-H110</f>
        <v>3628.8500000000022</v>
      </c>
      <c r="M110" s="5"/>
      <c r="N110" s="13">
        <f>IF(H110=0,0,L110/H110)</f>
        <v>0.12461500476125238</v>
      </c>
      <c r="O110" s="11"/>
      <c r="P110" s="5">
        <f>SUM(OSRRefP25x_0)</f>
        <v>207885.38</v>
      </c>
      <c r="Q110" s="5"/>
      <c r="R110" s="13">
        <f>IF(P$12=0,0,P110/P$12)</f>
        <v>0.13771980631510322</v>
      </c>
      <c r="S110" s="5"/>
      <c r="T110" s="5">
        <f>SUM(OSRRefT25x_0)</f>
        <v>163853.02000000002</v>
      </c>
      <c r="U110" s="5"/>
      <c r="V110" s="13">
        <f>IF(T$12=0,0,T110/T$12)</f>
        <v>7.9846508454753676E-2</v>
      </c>
      <c r="W110" s="5"/>
      <c r="X110" s="5">
        <f>+P110-T110</f>
        <v>44032.359999999986</v>
      </c>
      <c r="Y110" s="5"/>
      <c r="Z110" s="13">
        <f>IF(T110=0,0,X110/T110)</f>
        <v>0.26873084182397117</v>
      </c>
    </row>
    <row r="111" spans="1:26" s="70" customFormat="1" ht="15" hidden="1" customHeight="1" outlineLevel="1" x14ac:dyDescent="0.25">
      <c r="A111" s="42"/>
      <c r="B111" s="12" t="str">
        <f>CONCATENATE("          ","9150"," - ","MISC. INCOME")</f>
        <v xml:space="preserve">          9150 - MISC. INCOME</v>
      </c>
      <c r="C111" s="12"/>
      <c r="D111" s="3">
        <f>--32749.34</f>
        <v>32749.34</v>
      </c>
      <c r="E111" s="3"/>
      <c r="F111" s="20">
        <f>IF(D$12=0,0,D111/D$12)</f>
        <v>0.27532454692646285</v>
      </c>
      <c r="G111" s="3"/>
      <c r="H111" s="3"/>
      <c r="I111" s="3"/>
      <c r="J111" s="20">
        <f>IF(H$12=0,0,H111/H$12)</f>
        <v>0</v>
      </c>
      <c r="K111" s="3"/>
      <c r="L111" s="3">
        <f>+D111-H111</f>
        <v>32749.34</v>
      </c>
      <c r="M111" s="3"/>
      <c r="N111" s="20">
        <f>IF(H111=0,0,L111/H111)</f>
        <v>0</v>
      </c>
      <c r="O111" s="12"/>
      <c r="P111" s="3">
        <f>--207885.38</f>
        <v>207885.38</v>
      </c>
      <c r="Q111" s="3"/>
      <c r="R111" s="20">
        <f>IF(P$12=0,0,P111/P$12)</f>
        <v>0.13771980631510322</v>
      </c>
      <c r="S111" s="3"/>
      <c r="T111" s="3">
        <v>1000</v>
      </c>
      <c r="U111" s="3"/>
      <c r="V111" s="20">
        <f>IF(T$12=0,0,T111/T$12)</f>
        <v>4.8730568685736563E-4</v>
      </c>
      <c r="W111" s="3"/>
      <c r="X111" s="3">
        <f>+P111-T111</f>
        <v>206885.38</v>
      </c>
      <c r="Y111" s="3"/>
      <c r="Z111" s="20">
        <f>IF(T111=0,0,X111/T111)</f>
        <v>206.88538</v>
      </c>
    </row>
    <row r="112" spans="1:26" s="70" customFormat="1" ht="15" hidden="1" customHeight="1" outlineLevel="1" x14ac:dyDescent="0.25">
      <c r="A112" s="42"/>
      <c r="B112" s="12" t="str">
        <f>CONCATENATE("          ","9151"," - ","MISC. INCOME")</f>
        <v xml:space="preserve">          9151 - MISC.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>
        <v>14541.98</v>
      </c>
      <c r="I112" s="3"/>
      <c r="J112" s="20">
        <f>IF(H$12=0,0,H112/H$12)</f>
        <v>5.9133931911709688E-2</v>
      </c>
      <c r="K112" s="3"/>
      <c r="L112" s="3">
        <f>+D112-H112</f>
        <v>-14541.98</v>
      </c>
      <c r="M112" s="3"/>
      <c r="N112" s="20">
        <f>IF(H112=0,0,L112/H112)</f>
        <v>-1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>
        <v>71840.89</v>
      </c>
      <c r="U112" s="3"/>
      <c r="V112" s="20">
        <f>IF(T$12=0,0,T112/T$12)</f>
        <v>3.5008474245894448E-2</v>
      </c>
      <c r="W112" s="3"/>
      <c r="X112" s="3">
        <f>+P112-T112</f>
        <v>-71840.89</v>
      </c>
      <c r="Y112" s="3"/>
      <c r="Z112" s="20">
        <f>IF(T112=0,0,X112/T112)</f>
        <v>-1</v>
      </c>
    </row>
    <row r="113" spans="1:26" s="70" customFormat="1" ht="15" hidden="1" customHeight="1" outlineLevel="1" x14ac:dyDescent="0.25">
      <c r="A113" s="42"/>
      <c r="B113" s="12" t="str">
        <f>CONCATENATE("          ","9160"," - ","MISC. INCOME")</f>
        <v xml:space="preserve">          9160 -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v>14578.51</v>
      </c>
      <c r="I113" s="3"/>
      <c r="J113" s="20">
        <f>IF(H$12=0,0,H113/H$12)</f>
        <v>5.9282478569918182E-2</v>
      </c>
      <c r="K113" s="3"/>
      <c r="L113" s="3">
        <f>+D113-H113</f>
        <v>-14578.51</v>
      </c>
      <c r="M113" s="3"/>
      <c r="N113" s="20">
        <f>IF(H113=0,0,L113/H113)</f>
        <v>-1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v>91012.13</v>
      </c>
      <c r="U113" s="3"/>
      <c r="V113" s="20">
        <f>IF(T$12=0,0,T113/T$12)</f>
        <v>4.4350728522001857E-2</v>
      </c>
      <c r="W113" s="3"/>
      <c r="X113" s="3">
        <f>+P113-T113</f>
        <v>-91012.13</v>
      </c>
      <c r="Y113" s="3"/>
      <c r="Z113" s="20">
        <f>IF(T113=0,0,X113/T113)</f>
        <v>-1</v>
      </c>
    </row>
    <row r="114" spans="1:26" s="70" customFormat="1" ht="15" hidden="1" customHeight="1" outlineLevel="1" x14ac:dyDescent="0.25">
      <c r="A114" s="42"/>
      <c r="B114" s="12" t="str">
        <f>CONCATENATE("          ","9165"," - ","OTHER INCOME")</f>
        <v xml:space="preserve">          9165 - OTHER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/>
      <c r="I114" s="3"/>
      <c r="J114" s="20">
        <f>IF(H$12=0,0,H114/H$12)</f>
        <v>0</v>
      </c>
      <c r="K114" s="3"/>
      <c r="L114" s="3">
        <f>+D114-H114</f>
        <v>0</v>
      </c>
      <c r="M114" s="3"/>
      <c r="N114" s="20">
        <f>IF(H114=0,0,L114/H114)</f>
        <v>0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/>
      <c r="U114" s="3"/>
      <c r="V114" s="20">
        <f>IF(T$12=0,0,T114/T$12)</f>
        <v>0</v>
      </c>
      <c r="W114" s="3"/>
      <c r="X114" s="3">
        <f>+P114-T114</f>
        <v>0</v>
      </c>
      <c r="Y114" s="3"/>
      <c r="Z114" s="20">
        <f>IF(T114=0,0,X114/T114)</f>
        <v>0</v>
      </c>
    </row>
    <row r="115" spans="1:26" ht="15" customHeight="1" x14ac:dyDescent="0.25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25">
      <c r="A116" s="11"/>
      <c r="B116" s="28" t="s">
        <v>292</v>
      </c>
      <c r="C116" s="28"/>
      <c r="D116" s="22">
        <f>+D24-D26+D110</f>
        <v>-146708.36999999997</v>
      </c>
      <c r="E116" s="15"/>
      <c r="F116" s="21">
        <f>IF(D$12=0,0,D116/D$12)</f>
        <v>-1.2333810544142223</v>
      </c>
      <c r="G116" s="15"/>
      <c r="H116" s="22">
        <f>+H24-H26+H110</f>
        <v>-2486.0054040126197</v>
      </c>
      <c r="I116" s="15"/>
      <c r="J116" s="21">
        <f>IF(H$12=0,0,H116/H$12)</f>
        <v>-1.010916493441915E-2</v>
      </c>
      <c r="K116" s="16"/>
      <c r="L116" s="22">
        <f>+D116-H116</f>
        <v>-144222.36459598734</v>
      </c>
      <c r="M116" s="16"/>
      <c r="N116" s="21">
        <f>IF(H116=0,0,L116/H116)</f>
        <v>58.013697139676545</v>
      </c>
      <c r="O116" s="27"/>
      <c r="P116" s="22">
        <f>+P24-P26+P110</f>
        <v>-991837.91</v>
      </c>
      <c r="Q116" s="15"/>
      <c r="R116" s="21">
        <f>IF(P$12=0,0,P116/P$12)</f>
        <v>-0.65707230042428566</v>
      </c>
      <c r="S116" s="15"/>
      <c r="T116" s="22">
        <f>+T24-T26+T110</f>
        <v>-568312.87426595343</v>
      </c>
      <c r="U116" s="15"/>
      <c r="V116" s="21">
        <f>IF(T$12=0,0,T116/T$12)</f>
        <v>-0.27694209554405413</v>
      </c>
      <c r="W116" s="16"/>
      <c r="X116" s="22">
        <f>+P116-T116</f>
        <v>-423525.0357340466</v>
      </c>
      <c r="Y116" s="16"/>
      <c r="Z116" s="21">
        <f>IF(T116=0,0,X116/T116)</f>
        <v>0.74523216860269392</v>
      </c>
    </row>
    <row r="117" spans="1:26" ht="15" customHeight="1" x14ac:dyDescent="0.25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25">
      <c r="A118" s="49"/>
      <c r="B118" s="11" t="s">
        <v>293</v>
      </c>
      <c r="C118" s="11"/>
      <c r="D118" s="5">
        <v>12178.97</v>
      </c>
      <c r="E118" s="5"/>
      <c r="F118" s="13">
        <f>IF(D$12=0,0,D118/D$12)</f>
        <v>0.1023889152355737</v>
      </c>
      <c r="G118" s="5"/>
      <c r="H118" s="5">
        <v>32195</v>
      </c>
      <c r="I118" s="5"/>
      <c r="J118" s="13">
        <f>IF(H$12=0,0,H118/H$12)</f>
        <v>0.13091868768197271</v>
      </c>
      <c r="K118" s="5"/>
      <c r="L118" s="5">
        <f>+D118-H118</f>
        <v>-20016.03</v>
      </c>
      <c r="M118" s="5"/>
      <c r="N118" s="13">
        <f>IF(H118=0,0,L118/H118)</f>
        <v>-0.62171237769840038</v>
      </c>
      <c r="O118" s="11"/>
      <c r="P118" s="5">
        <v>169703.89</v>
      </c>
      <c r="Q118" s="5"/>
      <c r="R118" s="13">
        <f>IF(P$12=0,0,P118/P$12)</f>
        <v>0.11242535122825657</v>
      </c>
      <c r="S118" s="5"/>
      <c r="T118" s="5">
        <v>254382</v>
      </c>
      <c r="U118" s="5"/>
      <c r="V118" s="13">
        <f>IF(T$12=0,0,T118/T$12)</f>
        <v>0.12396179523415038</v>
      </c>
      <c r="W118" s="5"/>
      <c r="X118" s="5">
        <f>+P118-T118</f>
        <v>-84678.109999999986</v>
      </c>
      <c r="Y118" s="5"/>
      <c r="Z118" s="13">
        <f>IF(T118=0,0,X118/T118)</f>
        <v>-0.33287775864644503</v>
      </c>
    </row>
    <row r="119" spans="1:26" ht="15" customHeight="1" x14ac:dyDescent="0.25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25">
      <c r="A120" s="11"/>
      <c r="B120" s="28" t="s">
        <v>294</v>
      </c>
      <c r="C120" s="28"/>
      <c r="D120" s="34">
        <f>+D116-D118</f>
        <v>-158887.33999999997</v>
      </c>
      <c r="E120" s="15"/>
      <c r="F120" s="32">
        <f>IF(D$12=0,0,D120/D$12)</f>
        <v>-1.335769969649796</v>
      </c>
      <c r="G120" s="15"/>
      <c r="H120" s="34">
        <f>+H116-H118</f>
        <v>-34681.00540401262</v>
      </c>
      <c r="I120" s="15"/>
      <c r="J120" s="32">
        <f>IF(H$12=0,0,H120/H$12)</f>
        <v>-0.14102785261639186</v>
      </c>
      <c r="K120" s="16"/>
      <c r="L120" s="34">
        <f>D120-H120</f>
        <v>-124206.33459598734</v>
      </c>
      <c r="M120" s="16"/>
      <c r="N120" s="32">
        <f>IF(H120=0,0,L120/H120)</f>
        <v>3.5813937095842259</v>
      </c>
      <c r="O120" s="27"/>
      <c r="P120" s="34">
        <f>+P116-P118</f>
        <v>-1161541.8</v>
      </c>
      <c r="Q120" s="15"/>
      <c r="R120" s="32">
        <f>IF(P$12=0,0,P120/P$12)</f>
        <v>-0.76949765165254225</v>
      </c>
      <c r="S120" s="15"/>
      <c r="T120" s="34">
        <f>+T116-T118</f>
        <v>-822694.87426595343</v>
      </c>
      <c r="U120" s="15"/>
      <c r="V120" s="32">
        <f>IF(T$12=0,0,T120/T$12)</f>
        <v>-0.40090389077820449</v>
      </c>
      <c r="W120" s="16"/>
      <c r="X120" s="34">
        <f>P120-T120</f>
        <v>-338846.92573404661</v>
      </c>
      <c r="Y120" s="16"/>
      <c r="Z120" s="32">
        <f>IF(T120=0,0,X120/T120)</f>
        <v>0.41187436111885539</v>
      </c>
    </row>
    <row r="121" spans="1:26" ht="15" customHeight="1" x14ac:dyDescent="0.25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25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3" customFormat="1" ht="15" customHeight="1" x14ac:dyDescent="0.25">
      <c r="A123" s="11"/>
      <c r="B123" s="28" t="s">
        <v>297</v>
      </c>
      <c r="C123" s="28"/>
      <c r="D123" s="30">
        <f>SUM(D120:D122)</f>
        <v>-158887.33999999997</v>
      </c>
      <c r="E123" s="15"/>
      <c r="F123" s="33">
        <f>IF(D$12=0,0,D123/D$12)</f>
        <v>-1.335769969649796</v>
      </c>
      <c r="G123" s="15"/>
      <c r="H123" s="30">
        <f>SUM(H120:H122)</f>
        <v>-34681.00540401262</v>
      </c>
      <c r="I123" s="15"/>
      <c r="J123" s="33">
        <f>IF(H$12=0,0,H123/H$12)</f>
        <v>-0.14102785261639186</v>
      </c>
      <c r="K123" s="16"/>
      <c r="L123" s="30">
        <f>+D123-H123</f>
        <v>-124206.33459598734</v>
      </c>
      <c r="M123" s="16"/>
      <c r="N123" s="33">
        <f>IF(H123=0,0,L123/H123)</f>
        <v>3.5813937095842259</v>
      </c>
      <c r="O123" s="27"/>
      <c r="P123" s="30">
        <f>SUM(P120:P122)</f>
        <v>-1161541.8</v>
      </c>
      <c r="Q123" s="15"/>
      <c r="R123" s="33">
        <f>IF(P$12=0,0,P123/P$12)</f>
        <v>-0.76949765165254225</v>
      </c>
      <c r="S123" s="15"/>
      <c r="T123" s="30">
        <f>SUM(T120:T122)</f>
        <v>-822694.87426595343</v>
      </c>
      <c r="U123" s="15"/>
      <c r="V123" s="33">
        <f>IF(T$12=0,0,T123/T$12)</f>
        <v>-0.40090389077820449</v>
      </c>
      <c r="W123" s="16"/>
      <c r="X123" s="30">
        <f>+P123-T123</f>
        <v>-338846.92573404661</v>
      </c>
      <c r="Y123" s="16"/>
      <c r="Z123" s="33">
        <f>IF(T123=0,0,X123/T123)</f>
        <v>0.41187436111885539</v>
      </c>
    </row>
    <row r="124" spans="1:26" ht="15" customHeight="1" x14ac:dyDescent="0.25">
      <c r="A124" s="10"/>
      <c r="C124" s="10"/>
      <c r="D124" s="18"/>
      <c r="E124" s="18"/>
      <c r="G124" s="18"/>
      <c r="H124" s="18"/>
      <c r="I124" s="18"/>
      <c r="J124" s="40"/>
      <c r="K124" s="18"/>
      <c r="L124" s="18"/>
      <c r="M124" s="18"/>
      <c r="P124" s="18"/>
      <c r="Q124" s="18"/>
      <c r="R124" s="40"/>
      <c r="S124" s="18"/>
      <c r="T124" s="18"/>
      <c r="U124" s="18"/>
      <c r="V124" s="40"/>
      <c r="W124" s="18"/>
      <c r="X124" s="18"/>
    </row>
    <row r="125" spans="1:26" ht="15" customHeight="1" x14ac:dyDescent="0.25">
      <c r="A125" s="10"/>
      <c r="B125" s="54">
        <v>44727.874507060187</v>
      </c>
      <c r="D125" s="18"/>
      <c r="E125" s="18"/>
      <c r="G125" s="18"/>
      <c r="H125" s="18"/>
      <c r="I125" s="18"/>
      <c r="J125" s="40"/>
      <c r="K125" s="18"/>
      <c r="L125" s="18"/>
      <c r="M125" s="18"/>
      <c r="P125" s="18"/>
      <c r="Q125" s="18"/>
      <c r="R125" s="40"/>
      <c r="S125" s="18"/>
      <c r="T125" s="18"/>
      <c r="U125" s="18"/>
      <c r="V125" s="40"/>
      <c r="W125" s="18"/>
      <c r="X125" s="18"/>
    </row>
    <row r="126" spans="1:26" ht="15" customHeight="1" x14ac:dyDescent="0.25">
      <c r="A126" s="10"/>
      <c r="B126" s="50" t="s">
        <v>298</v>
      </c>
      <c r="D126" s="18"/>
      <c r="E126" s="18"/>
      <c r="G126" s="18"/>
      <c r="H126" s="18"/>
      <c r="I126" s="18"/>
      <c r="J126" s="40"/>
      <c r="K126" s="18"/>
      <c r="L126" s="18"/>
      <c r="M126" s="18"/>
      <c r="P126" s="18"/>
      <c r="Q126" s="18"/>
      <c r="R126" s="40"/>
      <c r="S126" s="18"/>
      <c r="T126" s="18"/>
      <c r="U126" s="18"/>
      <c r="V126" s="40"/>
      <c r="W126" s="18"/>
      <c r="X126" s="18"/>
    </row>
    <row r="127" spans="1:26" ht="15" customHeight="1" x14ac:dyDescent="0.25">
      <c r="A127" s="10"/>
      <c r="B127" s="58"/>
      <c r="D127" s="18"/>
      <c r="E127" s="18"/>
      <c r="G127" s="18"/>
      <c r="H127" s="18"/>
      <c r="I127" s="18"/>
      <c r="J127" s="40"/>
      <c r="K127" s="18"/>
      <c r="L127" s="18"/>
      <c r="M127" s="18"/>
      <c r="P127" s="18"/>
      <c r="Q127" s="18"/>
      <c r="R127" s="40"/>
      <c r="S127" s="18"/>
      <c r="T127" s="18"/>
      <c r="U127" s="18"/>
      <c r="V127" s="40"/>
      <c r="W127" s="18"/>
      <c r="X127" s="18"/>
    </row>
    <row r="128" spans="1:26" ht="15" customHeight="1" x14ac:dyDescent="0.25">
      <c r="D128" s="18"/>
      <c r="E128" s="18"/>
      <c r="G128" s="18"/>
      <c r="H128" s="18"/>
      <c r="I128" s="18"/>
      <c r="J128" s="40"/>
      <c r="K128" s="18"/>
      <c r="L128" s="18"/>
      <c r="M128" s="18"/>
      <c r="P128" s="18"/>
      <c r="Q128" s="18"/>
      <c r="R128" s="40"/>
      <c r="S128" s="18"/>
      <c r="T128" s="18"/>
      <c r="U128" s="18"/>
      <c r="V128" s="40"/>
      <c r="W128" s="18"/>
      <c r="X12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883CB-9E9D-48EC-A007-0FEAC9DBF4FD}">
  <sheetPr>
    <tabColor rgb="FF92D050"/>
    <outlinePr summaryBelow="0" summaryRight="0"/>
  </sheetPr>
  <dimension ref="A2:Z10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","405"," - ","Caffeine Lab")</f>
        <v>Department 405 - Caffeine Lab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72732.92</v>
      </c>
      <c r="E12" s="5"/>
      <c r="F12" s="13"/>
      <c r="G12" s="5"/>
      <c r="H12" s="5">
        <f>SUM(OSRRefH13x_0)</f>
        <v>59955</v>
      </c>
      <c r="I12" s="5"/>
      <c r="J12" s="13"/>
      <c r="K12" s="5"/>
      <c r="L12" s="5">
        <f>+D12-H12</f>
        <v>12777.919999999998</v>
      </c>
      <c r="M12" s="5"/>
      <c r="N12" s="13">
        <f>IF(H12=0,0,L12/H12)</f>
        <v>0.21312517721624549</v>
      </c>
      <c r="O12" s="11"/>
      <c r="P12" s="5">
        <f>SUM(OSRRefP13x_0)</f>
        <v>673570.45000000007</v>
      </c>
      <c r="Q12" s="5"/>
      <c r="R12" s="13"/>
      <c r="S12" s="5"/>
      <c r="T12" s="5">
        <f>SUM(OSRRefT13x_0)</f>
        <v>483145</v>
      </c>
      <c r="U12" s="5"/>
      <c r="V12" s="13"/>
      <c r="W12" s="5"/>
      <c r="X12" s="5">
        <f>+P12-T12</f>
        <v>190425.45000000007</v>
      </c>
      <c r="Y12" s="5"/>
      <c r="Z12" s="13">
        <f>IF(T12=0,0,X12/T12)</f>
        <v>0.39413726728000925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12555</v>
      </c>
      <c r="I13" s="3"/>
      <c r="J13" s="20"/>
      <c r="K13" s="3"/>
      <c r="L13" s="3">
        <f>+D13-H13</f>
        <v>-12555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101175</v>
      </c>
      <c r="U13" s="3"/>
      <c r="V13" s="20"/>
      <c r="W13" s="3"/>
      <c r="X13" s="3">
        <f>+P13-T13</f>
        <v>-101175</v>
      </c>
      <c r="Y13" s="3"/>
      <c r="Z13" s="20">
        <f>IF(T13=0,0,X13/T13)</f>
        <v>-1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--7038.55</f>
        <v>7038.55</v>
      </c>
      <c r="E14" s="3"/>
      <c r="F14" s="20"/>
      <c r="G14" s="3"/>
      <c r="H14" s="3"/>
      <c r="I14" s="3"/>
      <c r="J14" s="20"/>
      <c r="K14" s="3"/>
      <c r="L14" s="3">
        <f>+D14-H14</f>
        <v>7038.55</v>
      </c>
      <c r="M14" s="3"/>
      <c r="N14" s="20">
        <f>IF(H14=0,0,L14/H14)</f>
        <v>0</v>
      </c>
      <c r="O14" s="12"/>
      <c r="P14" s="3">
        <f>--64401.93</f>
        <v>64401.93</v>
      </c>
      <c r="Q14" s="3"/>
      <c r="R14" s="20"/>
      <c r="S14" s="3"/>
      <c r="T14" s="3"/>
      <c r="U14" s="3"/>
      <c r="V14" s="20"/>
      <c r="W14" s="3"/>
      <c r="X14" s="3">
        <f>+P14-T14</f>
        <v>64401.93</v>
      </c>
      <c r="Y14" s="3"/>
      <c r="Z14" s="20">
        <f>IF(T14=0,0,X14/T14)</f>
        <v>0</v>
      </c>
    </row>
    <row r="15" spans="1:26" s="70" customFormat="1" ht="15" hidden="1" customHeight="1" outlineLevel="1" x14ac:dyDescent="0.25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47400</v>
      </c>
      <c r="I15" s="3"/>
      <c r="J15" s="20"/>
      <c r="K15" s="3"/>
      <c r="L15" s="3">
        <f>+D15-H15</f>
        <v>-47400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381970</v>
      </c>
      <c r="U15" s="3"/>
      <c r="V15" s="20"/>
      <c r="W15" s="3"/>
      <c r="X15" s="3">
        <f>+P15-T15</f>
        <v>-381970</v>
      </c>
      <c r="Y15" s="3"/>
      <c r="Z15" s="20">
        <f>IF(T15=0,0,X15/T15)</f>
        <v>-1</v>
      </c>
    </row>
    <row r="16" spans="1:26" s="70" customFormat="1" ht="15" hidden="1" customHeight="1" outlineLevel="1" x14ac:dyDescent="0.25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--65694.37</f>
        <v>65694.37</v>
      </c>
      <c r="E16" s="3"/>
      <c r="F16" s="20"/>
      <c r="G16" s="3"/>
      <c r="H16" s="3"/>
      <c r="I16" s="3"/>
      <c r="J16" s="20"/>
      <c r="K16" s="3"/>
      <c r="L16" s="3">
        <f>+D16-H16</f>
        <v>65694.37</v>
      </c>
      <c r="M16" s="3"/>
      <c r="N16" s="20">
        <f>IF(H16=0,0,L16/H16)</f>
        <v>0</v>
      </c>
      <c r="O16" s="12"/>
      <c r="P16" s="3">
        <f>--609168.52</f>
        <v>609168.52</v>
      </c>
      <c r="Q16" s="3"/>
      <c r="R16" s="20"/>
      <c r="S16" s="3"/>
      <c r="T16" s="3"/>
      <c r="U16" s="3"/>
      <c r="V16" s="20"/>
      <c r="W16" s="3"/>
      <c r="X16" s="3">
        <f>+P16-T16</f>
        <v>609168.52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33769.75</v>
      </c>
      <c r="E18" s="5"/>
      <c r="F18" s="13">
        <f>IF(D$12=0,0,D18/D$12)</f>
        <v>0.46429800975954216</v>
      </c>
      <c r="G18" s="5"/>
      <c r="H18" s="5">
        <f>SUM(OSRRefH16x_0)</f>
        <v>22783</v>
      </c>
      <c r="I18" s="5"/>
      <c r="J18" s="13">
        <f>IF(H$12=0,0,H18/H$12)</f>
        <v>0.38000166791760487</v>
      </c>
      <c r="K18" s="5"/>
      <c r="L18" s="5">
        <f>+D18-H18</f>
        <v>10986.75</v>
      </c>
      <c r="M18" s="5"/>
      <c r="N18" s="13">
        <f>IF(H18=0,0,L18/H18)</f>
        <v>0.48223456085677918</v>
      </c>
      <c r="O18" s="11"/>
      <c r="P18" s="5">
        <f>SUM(OSRRefP16x_0)</f>
        <v>295056.99</v>
      </c>
      <c r="Q18" s="5"/>
      <c r="R18" s="13">
        <f>IF(P$12=0,0,P18/P$12)</f>
        <v>0.43804918995481462</v>
      </c>
      <c r="S18" s="5"/>
      <c r="T18" s="5">
        <f>SUM(OSRRefT16x_0)</f>
        <v>183594</v>
      </c>
      <c r="U18" s="5"/>
      <c r="V18" s="13">
        <f>IF(T$12=0,0,T18/T$12)</f>
        <v>0.3799977232507839</v>
      </c>
      <c r="W18" s="5"/>
      <c r="X18" s="5">
        <f>+P18-T18</f>
        <v>111462.98999999999</v>
      </c>
      <c r="Y18" s="5"/>
      <c r="Z18" s="13">
        <f>IF(T18=0,0,X18/T18)</f>
        <v>0.60711673584104053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22783</v>
      </c>
      <c r="I19" s="3"/>
      <c r="J19" s="20">
        <f>IF(H$12=0,0,H19/H$12)</f>
        <v>0.38000166791760487</v>
      </c>
      <c r="K19" s="3"/>
      <c r="L19" s="3">
        <f>+D19-H19</f>
        <v>-22783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183594</v>
      </c>
      <c r="U19" s="3"/>
      <c r="V19" s="20">
        <f>IF(T$12=0,0,T19/T$12)</f>
        <v>0.3799977232507839</v>
      </c>
      <c r="W19" s="3"/>
      <c r="X19" s="3">
        <f>+P19-T19</f>
        <v>-183594</v>
      </c>
      <c r="Y19" s="3"/>
      <c r="Z19" s="20">
        <f>IF(T19=0,0,X19/T19)</f>
        <v>-1</v>
      </c>
    </row>
    <row r="20" spans="1:26" s="70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24316.44</v>
      </c>
      <c r="E20" s="3"/>
      <c r="F20" s="20">
        <f>IF(D$12=0,0,D20/D$12)</f>
        <v>0.33432508965678814</v>
      </c>
      <c r="G20" s="3"/>
      <c r="H20" s="3"/>
      <c r="I20" s="3"/>
      <c r="J20" s="20">
        <f>IF(H$12=0,0,H20/H$12)</f>
        <v>0</v>
      </c>
      <c r="K20" s="3"/>
      <c r="L20" s="3">
        <f>+D20-H20</f>
        <v>24316.44</v>
      </c>
      <c r="M20" s="3"/>
      <c r="N20" s="20">
        <f>IF(H20=0,0,L20/H20)</f>
        <v>0</v>
      </c>
      <c r="O20" s="12"/>
      <c r="P20" s="3">
        <v>210496.34</v>
      </c>
      <c r="Q20" s="3"/>
      <c r="R20" s="20">
        <f>IF(P$12=0,0,P20/P$12)</f>
        <v>0.31250827586037955</v>
      </c>
      <c r="S20" s="3"/>
      <c r="T20" s="3"/>
      <c r="U20" s="3"/>
      <c r="V20" s="20">
        <f>IF(T$12=0,0,T20/T$12)</f>
        <v>0</v>
      </c>
      <c r="W20" s="3"/>
      <c r="X20" s="3">
        <f>+P20-T20</f>
        <v>210496.34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9453.31</v>
      </c>
      <c r="E21" s="3"/>
      <c r="F21" s="20">
        <f>IF(D$12=0,0,D21/D$12)</f>
        <v>0.12997292010275402</v>
      </c>
      <c r="G21" s="3"/>
      <c r="H21" s="3"/>
      <c r="I21" s="3"/>
      <c r="J21" s="20">
        <f>IF(H$12=0,0,H21/H$12)</f>
        <v>0</v>
      </c>
      <c r="K21" s="3"/>
      <c r="L21" s="3">
        <f>+D21-H21</f>
        <v>9453.31</v>
      </c>
      <c r="M21" s="3"/>
      <c r="N21" s="20">
        <f>IF(H21=0,0,L21/H21)</f>
        <v>0</v>
      </c>
      <c r="O21" s="12"/>
      <c r="P21" s="3">
        <v>84560.65</v>
      </c>
      <c r="Q21" s="3"/>
      <c r="R21" s="20">
        <f>IF(P$12=0,0,P21/P$12)</f>
        <v>0.1255409140944351</v>
      </c>
      <c r="S21" s="3"/>
      <c r="T21" s="3"/>
      <c r="U21" s="3"/>
      <c r="V21" s="20">
        <f>IF(T$12=0,0,T21/T$12)</f>
        <v>0</v>
      </c>
      <c r="W21" s="3"/>
      <c r="X21" s="3">
        <f>+P21-T21</f>
        <v>84560.65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D12-D18</f>
        <v>38963.17</v>
      </c>
      <c r="E23" s="15"/>
      <c r="F23" s="21">
        <f>IF(D$12=0,0,D23/D$12)</f>
        <v>0.53570199024045784</v>
      </c>
      <c r="G23" s="15"/>
      <c r="H23" s="22">
        <f>H12-H18</f>
        <v>37172</v>
      </c>
      <c r="I23" s="15"/>
      <c r="J23" s="21">
        <f>IF(H$12=0,0,H23/H$12)</f>
        <v>0.61999833208239508</v>
      </c>
      <c r="K23" s="16"/>
      <c r="L23" s="22">
        <f>+D23-H23</f>
        <v>1791.1699999999983</v>
      </c>
      <c r="M23" s="16"/>
      <c r="N23" s="21">
        <f>IF(H23=0,0,L23/H23)</f>
        <v>4.8186000215215706E-2</v>
      </c>
      <c r="O23" s="27"/>
      <c r="P23" s="22">
        <f>P12-P18</f>
        <v>378513.46000000008</v>
      </c>
      <c r="Q23" s="15"/>
      <c r="R23" s="21">
        <f>IF(P$12=0,0,P23/P$12)</f>
        <v>0.56195081004518543</v>
      </c>
      <c r="S23" s="15"/>
      <c r="T23" s="22">
        <f>T12-T18</f>
        <v>299551</v>
      </c>
      <c r="U23" s="15"/>
      <c r="V23" s="21">
        <f>IF(T$12=0,0,T23/T$12)</f>
        <v>0.62000227674921604</v>
      </c>
      <c r="W23" s="16"/>
      <c r="X23" s="22">
        <f>+P23-T23</f>
        <v>78962.460000000079</v>
      </c>
      <c r="Y23" s="16"/>
      <c r="Z23" s="21">
        <f>IF(T23=0,0,X23/T23)</f>
        <v>0.26360272541236746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39969.349999999991</v>
      </c>
      <c r="E25" s="23"/>
      <c r="F25" s="31">
        <f t="shared" ref="F25:F56" si="0">IF(D$12=0,0,D25/D$12)</f>
        <v>0.54953589103806078</v>
      </c>
      <c r="G25" s="23"/>
      <c r="H25" s="23" cm="1">
        <f t="array" ref="H25">SUM(OSRRefH22x_0)</f>
        <v>34389.386377846153</v>
      </c>
      <c r="I25" s="23"/>
      <c r="J25" s="31">
        <f t="shared" ref="J25:J56" si="1">IF(H$12=0,0,H25/H$12)</f>
        <v>0.57358662960297147</v>
      </c>
      <c r="K25" s="5"/>
      <c r="L25" s="23">
        <f t="shared" ref="L25:L56" si="2">+D25-H25</f>
        <v>5579.9636221538385</v>
      </c>
      <c r="M25" s="5"/>
      <c r="N25" s="31">
        <f t="shared" ref="N25:N56" si="3">IF(H25=0,0,L25/H25)</f>
        <v>0.16225830728251914</v>
      </c>
      <c r="O25" s="11"/>
      <c r="P25" s="23" cm="1">
        <f t="array" ref="P25">SUM(OSRRefP22x_0)</f>
        <v>411249.7900000001</v>
      </c>
      <c r="Q25" s="23"/>
      <c r="R25" s="31">
        <f t="shared" ref="R25:R56" si="4">IF(P$12=0,0,P25/P$12)</f>
        <v>0.61055200684649991</v>
      </c>
      <c r="S25" s="23"/>
      <c r="T25" s="23" cm="1">
        <f t="array" ref="T25">SUM(OSRRefT22x_0)</f>
        <v>381649.5637481538</v>
      </c>
      <c r="U25" s="23"/>
      <c r="V25" s="31">
        <f t="shared" ref="V25:V56" si="5">IF(T$12=0,0,T25/T$12)</f>
        <v>0.78992758643503258</v>
      </c>
      <c r="W25" s="5"/>
      <c r="X25" s="23">
        <f t="shared" ref="X25:X56" si="6">+P25-T25</f>
        <v>29600.226251846296</v>
      </c>
      <c r="Y25" s="5"/>
      <c r="Z25" s="31">
        <f t="shared" ref="Z25:Z56" si="7">IF(T25=0,0,X25/T25)</f>
        <v>7.7558653444129572E-2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5953.1699999999992</v>
      </c>
      <c r="E26" s="2"/>
      <c r="F26" s="6">
        <f t="shared" si="0"/>
        <v>8.1849731868320411E-2</v>
      </c>
      <c r="G26" s="2"/>
      <c r="H26" s="2">
        <f>SUM(OSRRefH22_0x_0)</f>
        <v>4135.9182163076921</v>
      </c>
      <c r="I26" s="2"/>
      <c r="J26" s="6">
        <f t="shared" si="1"/>
        <v>6.8983708052834491E-2</v>
      </c>
      <c r="K26" s="2"/>
      <c r="L26" s="2">
        <f t="shared" si="2"/>
        <v>1817.2517836923071</v>
      </c>
      <c r="M26" s="2"/>
      <c r="N26" s="6">
        <f t="shared" si="3"/>
        <v>0.43938291055344997</v>
      </c>
      <c r="O26" s="14"/>
      <c r="P26" s="2">
        <f>SUM(OSRRefP22_0x_0)</f>
        <v>53144.770000000004</v>
      </c>
      <c r="Q26" s="2"/>
      <c r="R26" s="6">
        <f t="shared" si="4"/>
        <v>7.8900091297057343E-2</v>
      </c>
      <c r="S26" s="2"/>
      <c r="T26" s="2">
        <f>SUM(OSRRefT22_0x_0)</f>
        <v>46827.440709692302</v>
      </c>
      <c r="U26" s="2"/>
      <c r="V26" s="6">
        <f t="shared" si="5"/>
        <v>9.6922126296851471E-2</v>
      </c>
      <c r="W26" s="2"/>
      <c r="X26" s="2">
        <f t="shared" si="6"/>
        <v>6317.3292903077017</v>
      </c>
      <c r="Y26" s="2"/>
      <c r="Z26" s="6">
        <f t="shared" si="7"/>
        <v>0.13490656748619076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872.51</v>
      </c>
      <c r="E27" s="3"/>
      <c r="F27" s="7">
        <f t="shared" si="0"/>
        <v>1.1996081004310016E-2</v>
      </c>
      <c r="G27" s="3"/>
      <c r="H27" s="8">
        <v>367.28748553846202</v>
      </c>
      <c r="I27" s="3"/>
      <c r="J27" s="7">
        <f t="shared" si="1"/>
        <v>6.1260526317815367E-3</v>
      </c>
      <c r="K27" s="3"/>
      <c r="L27" s="8">
        <f t="shared" si="2"/>
        <v>505.22251446153797</v>
      </c>
      <c r="M27" s="3"/>
      <c r="N27" s="7">
        <f t="shared" si="3"/>
        <v>1.3755505819123028</v>
      </c>
      <c r="O27" s="12"/>
      <c r="P27" s="8">
        <v>9390.69</v>
      </c>
      <c r="Q27" s="3"/>
      <c r="R27" s="7">
        <f t="shared" si="4"/>
        <v>1.3941659703153544E-2</v>
      </c>
      <c r="S27" s="3"/>
      <c r="T27" s="8">
        <v>4582.2290404615396</v>
      </c>
      <c r="U27" s="3"/>
      <c r="V27" s="7">
        <f t="shared" si="5"/>
        <v>9.4841694324923984E-3</v>
      </c>
      <c r="W27" s="3"/>
      <c r="X27" s="8">
        <f t="shared" si="6"/>
        <v>4808.4609595384609</v>
      </c>
      <c r="Y27" s="3"/>
      <c r="Z27" s="7">
        <f t="shared" si="7"/>
        <v>1.0493715868585509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1354.1</v>
      </c>
      <c r="E28" s="3"/>
      <c r="F28" s="7">
        <f t="shared" si="0"/>
        <v>1.8617429356610458E-2</v>
      </c>
      <c r="G28" s="3"/>
      <c r="H28" s="8">
        <v>694.603591307692</v>
      </c>
      <c r="I28" s="3"/>
      <c r="J28" s="7">
        <f t="shared" si="1"/>
        <v>1.1585415583482479E-2</v>
      </c>
      <c r="K28" s="3"/>
      <c r="L28" s="8">
        <f t="shared" si="2"/>
        <v>659.49640869230791</v>
      </c>
      <c r="M28" s="3"/>
      <c r="N28" s="7">
        <f t="shared" si="3"/>
        <v>0.94945723999311649</v>
      </c>
      <c r="O28" s="12"/>
      <c r="P28" s="8">
        <v>8314.1</v>
      </c>
      <c r="Q28" s="3"/>
      <c r="R28" s="7">
        <f t="shared" si="4"/>
        <v>1.2343326522118064E-2</v>
      </c>
      <c r="S28" s="3"/>
      <c r="T28" s="8">
        <v>7913.3262726923103</v>
      </c>
      <c r="U28" s="3"/>
      <c r="V28" s="7">
        <f t="shared" si="5"/>
        <v>1.6378781261717105E-2</v>
      </c>
      <c r="W28" s="3"/>
      <c r="X28" s="8">
        <f t="shared" si="6"/>
        <v>400.77372730769002</v>
      </c>
      <c r="Y28" s="3"/>
      <c r="Z28" s="7">
        <f t="shared" si="7"/>
        <v>5.0645419321417265E-2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2033.2</v>
      </c>
      <c r="E29" s="3"/>
      <c r="F29" s="7">
        <f t="shared" si="0"/>
        <v>2.7954329346326259E-2</v>
      </c>
      <c r="G29" s="3"/>
      <c r="H29" s="8">
        <v>1977</v>
      </c>
      <c r="I29" s="3"/>
      <c r="J29" s="7">
        <f t="shared" si="1"/>
        <v>3.2974731048286215E-2</v>
      </c>
      <c r="K29" s="3"/>
      <c r="L29" s="8">
        <f t="shared" si="2"/>
        <v>56.200000000000045</v>
      </c>
      <c r="M29" s="3"/>
      <c r="N29" s="7">
        <f t="shared" si="3"/>
        <v>2.8426909458775945E-2</v>
      </c>
      <c r="O29" s="12"/>
      <c r="P29" s="8">
        <v>17765.830000000002</v>
      </c>
      <c r="Q29" s="3"/>
      <c r="R29" s="7">
        <f t="shared" si="4"/>
        <v>2.6375607777924342E-2</v>
      </c>
      <c r="S29" s="3"/>
      <c r="T29" s="8">
        <v>21747</v>
      </c>
      <c r="U29" s="3"/>
      <c r="V29" s="7">
        <f t="shared" si="5"/>
        <v>4.5011332001780001E-2</v>
      </c>
      <c r="W29" s="3"/>
      <c r="X29" s="8">
        <f t="shared" si="6"/>
        <v>-3981.1699999999983</v>
      </c>
      <c r="Y29" s="3"/>
      <c r="Z29" s="7">
        <f t="shared" si="7"/>
        <v>-0.18306754954706389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97.8</v>
      </c>
      <c r="E30" s="3"/>
      <c r="F30" s="7">
        <f t="shared" si="0"/>
        <v>1.3446455882700709E-3</v>
      </c>
      <c r="G30" s="3"/>
      <c r="H30" s="8">
        <v>38.487270230769198</v>
      </c>
      <c r="I30" s="3"/>
      <c r="J30" s="7">
        <f t="shared" si="1"/>
        <v>6.419359558130131E-4</v>
      </c>
      <c r="K30" s="3"/>
      <c r="L30" s="8">
        <f t="shared" si="2"/>
        <v>59.312729769230799</v>
      </c>
      <c r="M30" s="3"/>
      <c r="N30" s="7">
        <f t="shared" si="3"/>
        <v>1.541099938072833</v>
      </c>
      <c r="O30" s="12"/>
      <c r="P30" s="8">
        <v>600.47</v>
      </c>
      <c r="Q30" s="3"/>
      <c r="R30" s="7">
        <f t="shared" si="4"/>
        <v>8.914731933385735E-4</v>
      </c>
      <c r="S30" s="3"/>
      <c r="T30" s="8">
        <v>438.46926576923101</v>
      </c>
      <c r="U30" s="3"/>
      <c r="V30" s="7">
        <f t="shared" si="5"/>
        <v>9.0753141555688463E-4</v>
      </c>
      <c r="W30" s="3"/>
      <c r="X30" s="8">
        <f t="shared" si="6"/>
        <v>162.00073423076901</v>
      </c>
      <c r="Y30" s="3"/>
      <c r="Z30" s="7">
        <f t="shared" si="7"/>
        <v>0.36946884736963748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372.94</v>
      </c>
      <c r="E31" s="3"/>
      <c r="F31" s="7">
        <f t="shared" si="0"/>
        <v>5.1275268475402883E-3</v>
      </c>
      <c r="G31" s="3"/>
      <c r="H31" s="8">
        <v>412.736492307692</v>
      </c>
      <c r="I31" s="3"/>
      <c r="J31" s="7">
        <f t="shared" si="1"/>
        <v>6.8841046169242264E-3</v>
      </c>
      <c r="K31" s="3"/>
      <c r="L31" s="8">
        <f t="shared" si="2"/>
        <v>-39.796492307692006</v>
      </c>
      <c r="M31" s="3"/>
      <c r="N31" s="7">
        <f t="shared" si="3"/>
        <v>-9.6421065375590809E-2</v>
      </c>
      <c r="O31" s="12"/>
      <c r="P31" s="8">
        <v>4582.46</v>
      </c>
      <c r="Q31" s="3"/>
      <c r="R31" s="7">
        <f t="shared" si="4"/>
        <v>6.8032378795714679E-3</v>
      </c>
      <c r="S31" s="3"/>
      <c r="T31" s="8">
        <v>4772.6507076923099</v>
      </c>
      <c r="U31" s="3"/>
      <c r="V31" s="7">
        <f t="shared" si="5"/>
        <v>9.8782988703025182E-3</v>
      </c>
      <c r="W31" s="3"/>
      <c r="X31" s="8">
        <f t="shared" si="6"/>
        <v>-190.19070769230984</v>
      </c>
      <c r="Y31" s="3"/>
      <c r="Z31" s="7">
        <f t="shared" si="7"/>
        <v>-3.9850120895243889E-2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","6118"," - ","VACATION")</f>
        <v xml:space="preserve">          6118 - VACATION</v>
      </c>
      <c r="C33" s="12"/>
      <c r="D33" s="8">
        <v>339.74</v>
      </c>
      <c r="E33" s="3"/>
      <c r="F33" s="7">
        <f t="shared" si="0"/>
        <v>4.671062292013025E-3</v>
      </c>
      <c r="G33" s="3"/>
      <c r="H33" s="8">
        <v>143.977846153846</v>
      </c>
      <c r="I33" s="3"/>
      <c r="J33" s="7">
        <f t="shared" si="1"/>
        <v>2.4014318431131013E-3</v>
      </c>
      <c r="K33" s="3"/>
      <c r="L33" s="8">
        <f t="shared" si="2"/>
        <v>195.76215384615401</v>
      </c>
      <c r="M33" s="3"/>
      <c r="N33" s="7">
        <f t="shared" si="3"/>
        <v>1.3596685814911722</v>
      </c>
      <c r="O33" s="12"/>
      <c r="P33" s="8">
        <v>3802.2</v>
      </c>
      <c r="Q33" s="3"/>
      <c r="R33" s="7">
        <f t="shared" si="4"/>
        <v>5.6448438318515894E-3</v>
      </c>
      <c r="S33" s="3"/>
      <c r="T33" s="8">
        <v>1664.8781538461501</v>
      </c>
      <c r="U33" s="3"/>
      <c r="V33" s="7">
        <f t="shared" si="5"/>
        <v>3.4459182105706365E-3</v>
      </c>
      <c r="W33" s="3"/>
      <c r="X33" s="8">
        <f t="shared" si="6"/>
        <v>2137.3218461538499</v>
      </c>
      <c r="Y33" s="3"/>
      <c r="Z33" s="7">
        <f t="shared" si="7"/>
        <v>1.283770731939917</v>
      </c>
    </row>
    <row r="34" spans="1:26" s="70" customFormat="1" ht="15" hidden="1" customHeight="1" outlineLevel="2" x14ac:dyDescent="0.25">
      <c r="A34" s="25"/>
      <c r="B34" s="12" t="str">
        <f>CONCATENATE("          ","6119"," - ","SICK LEAVE")</f>
        <v xml:space="preserve">          6119 - SICK LEAVE</v>
      </c>
      <c r="C34" s="12"/>
      <c r="D34" s="8">
        <v>407.04</v>
      </c>
      <c r="E34" s="3"/>
      <c r="F34" s="7">
        <f t="shared" si="0"/>
        <v>5.5963654422234114E-3</v>
      </c>
      <c r="G34" s="3"/>
      <c r="H34" s="8">
        <v>501.82553076923102</v>
      </c>
      <c r="I34" s="3"/>
      <c r="J34" s="7">
        <f t="shared" si="1"/>
        <v>8.3700363734339252E-3</v>
      </c>
      <c r="K34" s="3"/>
      <c r="L34" s="8">
        <f t="shared" si="2"/>
        <v>-94.785530769231002</v>
      </c>
      <c r="M34" s="3"/>
      <c r="N34" s="7">
        <f t="shared" si="3"/>
        <v>-0.18888144376380678</v>
      </c>
      <c r="O34" s="12"/>
      <c r="P34" s="8">
        <v>4464.93</v>
      </c>
      <c r="Q34" s="3"/>
      <c r="R34" s="7">
        <f t="shared" si="4"/>
        <v>6.6287498211953918E-3</v>
      </c>
      <c r="S34" s="3"/>
      <c r="T34" s="8">
        <v>5708.8872692307696</v>
      </c>
      <c r="U34" s="3"/>
      <c r="V34" s="7">
        <f t="shared" si="5"/>
        <v>1.1816095104431939E-2</v>
      </c>
      <c r="W34" s="3"/>
      <c r="X34" s="8">
        <f t="shared" si="6"/>
        <v>-1243.9572692307693</v>
      </c>
      <c r="Y34" s="3"/>
      <c r="Z34" s="7">
        <f t="shared" si="7"/>
        <v>-0.21789837678794863</v>
      </c>
    </row>
    <row r="35" spans="1:26" s="70" customFormat="1" ht="15" hidden="1" customHeight="1" outlineLevel="2" x14ac:dyDescent="0.25">
      <c r="A35" s="25"/>
      <c r="B35" s="12" t="str">
        <f>CONCATENATE("          ","6156"," - ","EMPLOYEE MEALS")</f>
        <v xml:space="preserve">          6156 - EMPLOYEE MEALS</v>
      </c>
      <c r="C35" s="12"/>
      <c r="D35" s="8">
        <v>475.84</v>
      </c>
      <c r="E35" s="3"/>
      <c r="F35" s="7">
        <f t="shared" si="0"/>
        <v>6.5422919910268964E-3</v>
      </c>
      <c r="G35" s="3"/>
      <c r="H35" s="8"/>
      <c r="I35" s="3"/>
      <c r="J35" s="7">
        <f t="shared" si="1"/>
        <v>0</v>
      </c>
      <c r="K35" s="3"/>
      <c r="L35" s="8">
        <f t="shared" si="2"/>
        <v>475.84</v>
      </c>
      <c r="M35" s="3"/>
      <c r="N35" s="7">
        <f t="shared" si="3"/>
        <v>0</v>
      </c>
      <c r="O35" s="12"/>
      <c r="P35" s="8">
        <v>4224.09</v>
      </c>
      <c r="Q35" s="3"/>
      <c r="R35" s="7">
        <f t="shared" si="4"/>
        <v>6.2711925679043668E-3</v>
      </c>
      <c r="S35" s="3"/>
      <c r="T35" s="8"/>
      <c r="U35" s="3"/>
      <c r="V35" s="7">
        <f t="shared" si="5"/>
        <v>0</v>
      </c>
      <c r="W35" s="3"/>
      <c r="X35" s="8">
        <f t="shared" si="6"/>
        <v>4224.09</v>
      </c>
      <c r="Y35" s="3"/>
      <c r="Z35" s="7">
        <f t="shared" si="7"/>
        <v>0</v>
      </c>
    </row>
    <row r="36" spans="1:26" s="69" customFormat="1" ht="15" customHeight="1" outlineLevel="1" collapsed="1" x14ac:dyDescent="0.25">
      <c r="A36" s="26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21867.96</v>
      </c>
      <c r="E36" s="2"/>
      <c r="F36" s="6">
        <f t="shared" si="0"/>
        <v>0.30066110366530041</v>
      </c>
      <c r="G36" s="2"/>
      <c r="H36" s="2">
        <f>SUM(OSRRefH22_1x_0)</f>
        <v>17681.468161538462</v>
      </c>
      <c r="I36" s="2"/>
      <c r="J36" s="6">
        <f t="shared" si="1"/>
        <v>0.29491232026584041</v>
      </c>
      <c r="K36" s="2"/>
      <c r="L36" s="2">
        <f t="shared" si="2"/>
        <v>4186.4918384615376</v>
      </c>
      <c r="M36" s="2"/>
      <c r="N36" s="6">
        <f t="shared" si="3"/>
        <v>0.23677286298929553</v>
      </c>
      <c r="O36" s="14"/>
      <c r="P36" s="2">
        <f>SUM(OSRRefP22_1x_0)</f>
        <v>226276.33000000002</v>
      </c>
      <c r="Q36" s="2"/>
      <c r="R36" s="6">
        <f t="shared" si="4"/>
        <v>0.3359356545406646</v>
      </c>
      <c r="S36" s="2"/>
      <c r="T36" s="2">
        <f>SUM(OSRRefT22_1x_0)</f>
        <v>201421.12303846149</v>
      </c>
      <c r="U36" s="2"/>
      <c r="V36" s="6">
        <f t="shared" si="5"/>
        <v>0.41689580361684692</v>
      </c>
      <c r="W36" s="2"/>
      <c r="X36" s="2">
        <f t="shared" si="6"/>
        <v>24855.206961538526</v>
      </c>
      <c r="Y36" s="2"/>
      <c r="Z36" s="6">
        <f t="shared" si="7"/>
        <v>0.12339920752399146</v>
      </c>
    </row>
    <row r="37" spans="1:26" s="70" customFormat="1" ht="15" hidden="1" customHeight="1" outlineLevel="2" x14ac:dyDescent="0.25">
      <c r="A37" s="25"/>
      <c r="B37" s="12" t="str">
        <f>CONCATENATE("          ","6001"," - ","ADMINISTRATIVE SALARIES")</f>
        <v xml:space="preserve">          6001 - ADMINISTRATIVE SALARIES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","6002"," - ","STAFF SALARIES")</f>
        <v xml:space="preserve">          6002 - STAFF SALARIES</v>
      </c>
      <c r="C38" s="12"/>
      <c r="D38" s="8">
        <v>4913.47</v>
      </c>
      <c r="E38" s="3"/>
      <c r="F38" s="7">
        <f t="shared" si="0"/>
        <v>6.7554966856823578E-2</v>
      </c>
      <c r="G38" s="3"/>
      <c r="H38" s="8">
        <v>4559.2984615384603</v>
      </c>
      <c r="I38" s="3"/>
      <c r="J38" s="7">
        <f t="shared" si="1"/>
        <v>7.6045341698581612E-2</v>
      </c>
      <c r="K38" s="3"/>
      <c r="L38" s="8">
        <f t="shared" si="2"/>
        <v>354.17153846153997</v>
      </c>
      <c r="M38" s="3"/>
      <c r="N38" s="7">
        <f t="shared" si="3"/>
        <v>7.7681147976882081E-2</v>
      </c>
      <c r="O38" s="12"/>
      <c r="P38" s="8">
        <v>59567.360000000001</v>
      </c>
      <c r="Q38" s="3"/>
      <c r="R38" s="7">
        <f t="shared" si="4"/>
        <v>8.8435233463700788E-2</v>
      </c>
      <c r="S38" s="3"/>
      <c r="T38" s="8">
        <v>52721.141538461503</v>
      </c>
      <c r="U38" s="3"/>
      <c r="V38" s="7">
        <f t="shared" si="5"/>
        <v>0.10912074333473699</v>
      </c>
      <c r="W38" s="3"/>
      <c r="X38" s="8">
        <f t="shared" si="6"/>
        <v>6846.2184615384976</v>
      </c>
      <c r="Y38" s="3"/>
      <c r="Z38" s="7">
        <f t="shared" si="7"/>
        <v>0.12985717421433288</v>
      </c>
    </row>
    <row r="39" spans="1:26" s="70" customFormat="1" ht="15" hidden="1" customHeight="1" outlineLevel="2" x14ac:dyDescent="0.25">
      <c r="A39" s="25"/>
      <c r="B39" s="12" t="str">
        <f>CONCATENATE("          ","6003"," - ","STAFF HOURLY-9 MONTH")</f>
        <v xml:space="preserve">          6003 - STAFF HOURLY-9 MONTH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","6004"," - ","STAFF HOURLY")</f>
        <v xml:space="preserve">          6004 - STAFF HOURLY</v>
      </c>
      <c r="C40" s="12"/>
      <c r="D40" s="8">
        <v>2497.87</v>
      </c>
      <c r="E40" s="3"/>
      <c r="F40" s="7">
        <f t="shared" si="0"/>
        <v>3.4343045762496541E-2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2497.87</v>
      </c>
      <c r="M40" s="3"/>
      <c r="N40" s="7">
        <f t="shared" si="3"/>
        <v>0</v>
      </c>
      <c r="O40" s="12"/>
      <c r="P40" s="8">
        <v>26458.94</v>
      </c>
      <c r="Q40" s="3"/>
      <c r="R40" s="7">
        <f t="shared" si="4"/>
        <v>3.9281622286132051E-2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26458.94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","6005"," - ","TEMPORARY WAGES-HOURLY")</f>
        <v xml:space="preserve">          6005 - TEMPORARY WAGES-HOURLY</v>
      </c>
      <c r="C41" s="12"/>
      <c r="D41" s="8">
        <v>1382.76</v>
      </c>
      <c r="E41" s="3"/>
      <c r="F41" s="7">
        <f t="shared" si="0"/>
        <v>1.9011473759062609E-2</v>
      </c>
      <c r="G41" s="3"/>
      <c r="H41" s="8">
        <v>6665.9127500000004</v>
      </c>
      <c r="I41" s="3"/>
      <c r="J41" s="7">
        <f t="shared" si="1"/>
        <v>0.11118193228254525</v>
      </c>
      <c r="K41" s="3"/>
      <c r="L41" s="8">
        <f t="shared" si="2"/>
        <v>-5283.1527500000002</v>
      </c>
      <c r="M41" s="3"/>
      <c r="N41" s="7">
        <f t="shared" si="3"/>
        <v>-0.79256254141640237</v>
      </c>
      <c r="O41" s="12"/>
      <c r="P41" s="8">
        <v>26631.23</v>
      </c>
      <c r="Q41" s="3"/>
      <c r="R41" s="7">
        <f t="shared" si="4"/>
        <v>3.9537408447772607E-2</v>
      </c>
      <c r="S41" s="3"/>
      <c r="T41" s="8">
        <v>69186.316999999995</v>
      </c>
      <c r="U41" s="3"/>
      <c r="V41" s="7">
        <f t="shared" si="5"/>
        <v>0.14319990272071531</v>
      </c>
      <c r="W41" s="3"/>
      <c r="X41" s="8">
        <f t="shared" si="6"/>
        <v>-42555.087</v>
      </c>
      <c r="Y41" s="3"/>
      <c r="Z41" s="7">
        <f t="shared" si="7"/>
        <v>-0.61507952504539309</v>
      </c>
    </row>
    <row r="42" spans="1:26" s="70" customFormat="1" ht="15" hidden="1" customHeight="1" outlineLevel="2" x14ac:dyDescent="0.25">
      <c r="A42" s="25"/>
      <c r="B42" s="12" t="str">
        <f>CONCATENATE("          ","6006"," - ","TEMPORARY PART TIME")</f>
        <v xml:space="preserve">          6006 - TEMPORARY PART TIME</v>
      </c>
      <c r="C42" s="12"/>
      <c r="D42" s="8"/>
      <c r="E42" s="3"/>
      <c r="F42" s="7">
        <f t="shared" si="0"/>
        <v>0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","6007"," - ","STUDENT HOURLY")</f>
        <v xml:space="preserve">          6007 - STUDENT HOURLY</v>
      </c>
      <c r="C43" s="12"/>
      <c r="D43" s="8">
        <v>13073.86</v>
      </c>
      <c r="E43" s="3"/>
      <c r="F43" s="7">
        <f t="shared" si="0"/>
        <v>0.17975161728691769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13073.86</v>
      </c>
      <c r="M43" s="3"/>
      <c r="N43" s="7">
        <f t="shared" si="3"/>
        <v>0</v>
      </c>
      <c r="O43" s="12"/>
      <c r="P43" s="8">
        <v>113618.8</v>
      </c>
      <c r="Q43" s="3"/>
      <c r="R43" s="7">
        <f t="shared" si="4"/>
        <v>0.16868139034305912</v>
      </c>
      <c r="S43" s="3"/>
      <c r="T43" s="8">
        <v>4247.63</v>
      </c>
      <c r="U43" s="3"/>
      <c r="V43" s="7">
        <f t="shared" si="5"/>
        <v>8.791625702428878E-3</v>
      </c>
      <c r="W43" s="3"/>
      <c r="X43" s="8">
        <f t="shared" si="6"/>
        <v>109371.17</v>
      </c>
      <c r="Y43" s="3"/>
      <c r="Z43" s="7">
        <f t="shared" si="7"/>
        <v>25.748751656806267</v>
      </c>
    </row>
    <row r="44" spans="1:26" s="70" customFormat="1" ht="15" hidden="1" customHeight="1" outlineLevel="2" x14ac:dyDescent="0.25">
      <c r="A44" s="25"/>
      <c r="B44" s="12" t="str">
        <f>CONCATENATE("          ","6008"," - ","STUDENT HOURLY-FICA EXEMPT")</f>
        <v xml:space="preserve">          6008 - STUDENT HOURLY-FICA EXEMPT</v>
      </c>
      <c r="C44" s="12"/>
      <c r="D44" s="8"/>
      <c r="E44" s="3"/>
      <c r="F44" s="7">
        <f t="shared" si="0"/>
        <v>0</v>
      </c>
      <c r="G44" s="3"/>
      <c r="H44" s="8">
        <v>6456.25695</v>
      </c>
      <c r="I44" s="3"/>
      <c r="J44" s="7">
        <f t="shared" si="1"/>
        <v>0.10768504628471354</v>
      </c>
      <c r="K44" s="3"/>
      <c r="L44" s="8">
        <f t="shared" si="2"/>
        <v>-6456.25695</v>
      </c>
      <c r="M44" s="3"/>
      <c r="N44" s="7">
        <f t="shared" si="3"/>
        <v>-1</v>
      </c>
      <c r="O44" s="12"/>
      <c r="P44" s="8"/>
      <c r="Q44" s="3"/>
      <c r="R44" s="7">
        <f t="shared" si="4"/>
        <v>0</v>
      </c>
      <c r="S44" s="3"/>
      <c r="T44" s="8">
        <v>75266.034499999994</v>
      </c>
      <c r="U44" s="3"/>
      <c r="V44" s="7">
        <f t="shared" si="5"/>
        <v>0.15578353185896573</v>
      </c>
      <c r="W44" s="3"/>
      <c r="X44" s="8">
        <f t="shared" si="6"/>
        <v>-75266.034499999994</v>
      </c>
      <c r="Y44" s="3"/>
      <c r="Z44" s="7">
        <f t="shared" si="7"/>
        <v>-1</v>
      </c>
    </row>
    <row r="45" spans="1:26" s="70" customFormat="1" ht="15" hidden="1" customHeight="1" outlineLevel="2" x14ac:dyDescent="0.25">
      <c r="A45" s="25"/>
      <c r="B45" s="12" t="str">
        <f>CONCATENATE("          ","6009"," - ","TEMPORARY-SEASONAL")</f>
        <v xml:space="preserve">          6009 - TEMPORARY-SEASONAL</v>
      </c>
      <c r="C45" s="12"/>
      <c r="D45" s="8"/>
      <c r="E45" s="3"/>
      <c r="F45" s="7">
        <f t="shared" si="0"/>
        <v>0</v>
      </c>
      <c r="G45" s="3"/>
      <c r="H45" s="8">
        <v>0</v>
      </c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/>
      <c r="Q45" s="3"/>
      <c r="R45" s="7">
        <f t="shared" si="4"/>
        <v>0</v>
      </c>
      <c r="S45" s="3"/>
      <c r="T45" s="8">
        <v>0</v>
      </c>
      <c r="U45" s="3"/>
      <c r="V45" s="7">
        <f t="shared" si="5"/>
        <v>0</v>
      </c>
      <c r="W45" s="3"/>
      <c r="X45" s="8">
        <f t="shared" si="6"/>
        <v>0</v>
      </c>
      <c r="Y45" s="3"/>
      <c r="Z45" s="7">
        <f t="shared" si="7"/>
        <v>0</v>
      </c>
    </row>
    <row r="46" spans="1:26" s="70" customFormat="1" ht="15" hidden="1" customHeight="1" outlineLevel="2" x14ac:dyDescent="0.25">
      <c r="A46" s="25"/>
      <c r="B46" s="12" t="str">
        <f>CONCATENATE("          ","6010"," - ","GRATUITY")</f>
        <v xml:space="preserve">          6010 - GRATUITY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69" customFormat="1" ht="15" customHeight="1" outlineLevel="1" collapsed="1" x14ac:dyDescent="0.25">
      <c r="A47" s="26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3.97</v>
      </c>
      <c r="E47" s="2"/>
      <c r="F47" s="6">
        <f t="shared" si="0"/>
        <v>5.4583261609736006E-5</v>
      </c>
      <c r="G47" s="2"/>
      <c r="H47" s="2">
        <f>SUM(OSRRefH22_2x_0)</f>
        <v>0</v>
      </c>
      <c r="I47" s="2"/>
      <c r="J47" s="6">
        <f t="shared" si="1"/>
        <v>0</v>
      </c>
      <c r="K47" s="2"/>
      <c r="L47" s="2">
        <f t="shared" si="2"/>
        <v>3.97</v>
      </c>
      <c r="M47" s="2"/>
      <c r="N47" s="6">
        <f t="shared" si="3"/>
        <v>0</v>
      </c>
      <c r="O47" s="14"/>
      <c r="P47" s="2">
        <f>SUM(OSRRefP22_2x_0)</f>
        <v>312.85000000000002</v>
      </c>
      <c r="Q47" s="2"/>
      <c r="R47" s="6">
        <f t="shared" si="4"/>
        <v>4.6446514985923148E-4</v>
      </c>
      <c r="S47" s="2"/>
      <c r="T47" s="2">
        <f>SUM(OSRRefT22_2x_0)</f>
        <v>0</v>
      </c>
      <c r="U47" s="2"/>
      <c r="V47" s="6">
        <f t="shared" si="5"/>
        <v>0</v>
      </c>
      <c r="W47" s="2"/>
      <c r="X47" s="2">
        <f t="shared" si="6"/>
        <v>312.85000000000002</v>
      </c>
      <c r="Y47" s="2"/>
      <c r="Z47" s="6">
        <f t="shared" si="7"/>
        <v>0</v>
      </c>
    </row>
    <row r="48" spans="1:26" s="70" customFormat="1" ht="15" hidden="1" customHeight="1" outlineLevel="2" x14ac:dyDescent="0.25">
      <c r="A48" s="25"/>
      <c r="B48" s="12" t="str">
        <f>CONCATENATE("          ","6362"," - ","ADVERTISING EXPENSE")</f>
        <v xml:space="preserve">          6362 - ADVERTISING EXPENSE</v>
      </c>
      <c r="C48" s="12"/>
      <c r="D48" s="8">
        <v>3.97</v>
      </c>
      <c r="E48" s="3"/>
      <c r="F48" s="7">
        <f t="shared" si="0"/>
        <v>5.4583261609736006E-5</v>
      </c>
      <c r="G48" s="3"/>
      <c r="H48" s="8"/>
      <c r="I48" s="3"/>
      <c r="J48" s="7">
        <f t="shared" si="1"/>
        <v>0</v>
      </c>
      <c r="K48" s="3"/>
      <c r="L48" s="8">
        <f t="shared" si="2"/>
        <v>3.97</v>
      </c>
      <c r="M48" s="3"/>
      <c r="N48" s="7">
        <f t="shared" si="3"/>
        <v>0</v>
      </c>
      <c r="O48" s="12"/>
      <c r="P48" s="8">
        <v>312.85000000000002</v>
      </c>
      <c r="Q48" s="3"/>
      <c r="R48" s="7">
        <f t="shared" si="4"/>
        <v>4.6446514985923148E-4</v>
      </c>
      <c r="S48" s="3"/>
      <c r="T48" s="8"/>
      <c r="U48" s="3"/>
      <c r="V48" s="7">
        <f t="shared" si="5"/>
        <v>0</v>
      </c>
      <c r="W48" s="3"/>
      <c r="X48" s="8">
        <f t="shared" si="6"/>
        <v>312.85000000000002</v>
      </c>
      <c r="Y48" s="3"/>
      <c r="Z48" s="7">
        <f t="shared" si="7"/>
        <v>0</v>
      </c>
    </row>
    <row r="49" spans="1:26" s="69" customFormat="1" ht="15" customHeight="1" outlineLevel="1" collapsed="1" x14ac:dyDescent="0.25">
      <c r="A49" s="26"/>
      <c r="B49" s="14" t="str">
        <f>CONCATENATE("     ","Bad Debts/Over/Short                              ")</f>
        <v xml:space="preserve">     Bad Debts/Over/Short                              </v>
      </c>
      <c r="C49" s="14"/>
      <c r="D49" s="2">
        <f>SUM(OSRRefD22_3x_0)</f>
        <v>5</v>
      </c>
      <c r="E49" s="2"/>
      <c r="F49" s="6">
        <f t="shared" si="0"/>
        <v>6.8744661976997487E-5</v>
      </c>
      <c r="G49" s="2"/>
      <c r="H49" s="2">
        <f>SUM(OSRRefH22_3x_0)</f>
        <v>0</v>
      </c>
      <c r="I49" s="2"/>
      <c r="J49" s="6">
        <f t="shared" si="1"/>
        <v>0</v>
      </c>
      <c r="K49" s="2"/>
      <c r="L49" s="2">
        <f t="shared" si="2"/>
        <v>5</v>
      </c>
      <c r="M49" s="2"/>
      <c r="N49" s="6">
        <f t="shared" si="3"/>
        <v>0</v>
      </c>
      <c r="O49" s="14"/>
      <c r="P49" s="2">
        <f>SUM(OSRRefP22_3x_0)</f>
        <v>-10.17</v>
      </c>
      <c r="Q49" s="2"/>
      <c r="R49" s="6">
        <f t="shared" si="4"/>
        <v>-1.5098643356459593E-5</v>
      </c>
      <c r="S49" s="2"/>
      <c r="T49" s="2">
        <f>SUM(OSRRefT22_3x_0)</f>
        <v>0</v>
      </c>
      <c r="U49" s="2"/>
      <c r="V49" s="6">
        <f t="shared" si="5"/>
        <v>0</v>
      </c>
      <c r="W49" s="2"/>
      <c r="X49" s="2">
        <f t="shared" si="6"/>
        <v>-10.17</v>
      </c>
      <c r="Y49" s="2"/>
      <c r="Z49" s="6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","6272"," - ","CASH (OVER/SHORT)")</f>
        <v xml:space="preserve">          6272 - CASH (OVER/SHORT)</v>
      </c>
      <c r="C50" s="12"/>
      <c r="D50" s="8">
        <v>5</v>
      </c>
      <c r="E50" s="3"/>
      <c r="F50" s="7">
        <f t="shared" si="0"/>
        <v>6.8744661976997487E-5</v>
      </c>
      <c r="G50" s="3"/>
      <c r="H50" s="8"/>
      <c r="I50" s="3"/>
      <c r="J50" s="7">
        <f t="shared" si="1"/>
        <v>0</v>
      </c>
      <c r="K50" s="3"/>
      <c r="L50" s="8">
        <f t="shared" si="2"/>
        <v>5</v>
      </c>
      <c r="M50" s="3"/>
      <c r="N50" s="7">
        <f t="shared" si="3"/>
        <v>0</v>
      </c>
      <c r="O50" s="12"/>
      <c r="P50" s="8">
        <v>-10.17</v>
      </c>
      <c r="Q50" s="3"/>
      <c r="R50" s="7">
        <f t="shared" si="4"/>
        <v>-1.5098643356459593E-5</v>
      </c>
      <c r="S50" s="3"/>
      <c r="T50" s="8"/>
      <c r="U50" s="3"/>
      <c r="V50" s="7">
        <f t="shared" si="5"/>
        <v>0</v>
      </c>
      <c r="W50" s="3"/>
      <c r="X50" s="8">
        <f t="shared" si="6"/>
        <v>-10.17</v>
      </c>
      <c r="Y50" s="3"/>
      <c r="Z50" s="7">
        <f t="shared" si="7"/>
        <v>0</v>
      </c>
    </row>
    <row r="51" spans="1:26" s="69" customFormat="1" ht="15" customHeight="1" outlineLevel="1" collapsed="1" x14ac:dyDescent="0.25">
      <c r="A51" s="26"/>
      <c r="B51" s="14" t="str">
        <f>CONCATENATE("     ","Bank/card Fees                                    ")</f>
        <v xml:space="preserve">     Bank/card Fees                                    </v>
      </c>
      <c r="C51" s="14"/>
      <c r="D51" s="2">
        <f>SUM(OSRRefD22_4x_0)</f>
        <v>2675.9</v>
      </c>
      <c r="E51" s="2"/>
      <c r="F51" s="6">
        <f t="shared" si="0"/>
        <v>3.6790768196849517E-2</v>
      </c>
      <c r="G51" s="2"/>
      <c r="H51" s="2">
        <f>SUM(OSRRefH22_4x_0)</f>
        <v>2291</v>
      </c>
      <c r="I51" s="2"/>
      <c r="J51" s="6">
        <f t="shared" si="1"/>
        <v>3.821199232757902E-2</v>
      </c>
      <c r="K51" s="2"/>
      <c r="L51" s="2">
        <f t="shared" si="2"/>
        <v>384.90000000000009</v>
      </c>
      <c r="M51" s="2"/>
      <c r="N51" s="6">
        <f t="shared" si="3"/>
        <v>0.16800523788738547</v>
      </c>
      <c r="O51" s="14"/>
      <c r="P51" s="2">
        <f>SUM(OSRRefP22_4x_0)</f>
        <v>23368.39</v>
      </c>
      <c r="Q51" s="2"/>
      <c r="R51" s="6">
        <f t="shared" si="4"/>
        <v>3.4693312332807945E-2</v>
      </c>
      <c r="S51" s="2"/>
      <c r="T51" s="2">
        <f>SUM(OSRRefT22_4x_0)</f>
        <v>18458</v>
      </c>
      <c r="U51" s="2"/>
      <c r="V51" s="6">
        <f t="shared" si="5"/>
        <v>3.8203851845719193E-2</v>
      </c>
      <c r="W51" s="2"/>
      <c r="X51" s="2">
        <f t="shared" si="6"/>
        <v>4910.3899999999994</v>
      </c>
      <c r="Y51" s="2"/>
      <c r="Z51" s="6">
        <f t="shared" si="7"/>
        <v>0.26603044750243793</v>
      </c>
    </row>
    <row r="52" spans="1:26" s="70" customFormat="1" ht="15" hidden="1" customHeight="1" outlineLevel="2" x14ac:dyDescent="0.25">
      <c r="A52" s="25"/>
      <c r="B52" s="12" t="str">
        <f>CONCATENATE("          ","6381"," - ","BANK/CREDIT CARD FEES")</f>
        <v xml:space="preserve">          6381 - BANK/CREDIT CARD FEES</v>
      </c>
      <c r="C52" s="12"/>
      <c r="D52" s="8">
        <v>2675.9</v>
      </c>
      <c r="E52" s="3"/>
      <c r="F52" s="7">
        <f t="shared" si="0"/>
        <v>3.6790768196849517E-2</v>
      </c>
      <c r="G52" s="3"/>
      <c r="H52" s="8">
        <v>2291</v>
      </c>
      <c r="I52" s="3"/>
      <c r="J52" s="7">
        <f t="shared" si="1"/>
        <v>3.821199232757902E-2</v>
      </c>
      <c r="K52" s="3"/>
      <c r="L52" s="8">
        <f t="shared" si="2"/>
        <v>384.90000000000009</v>
      </c>
      <c r="M52" s="3"/>
      <c r="N52" s="7">
        <f t="shared" si="3"/>
        <v>0.16800523788738547</v>
      </c>
      <c r="O52" s="12"/>
      <c r="P52" s="8">
        <v>23368.39</v>
      </c>
      <c r="Q52" s="3"/>
      <c r="R52" s="7">
        <f t="shared" si="4"/>
        <v>3.4693312332807945E-2</v>
      </c>
      <c r="S52" s="3"/>
      <c r="T52" s="8">
        <v>18458</v>
      </c>
      <c r="U52" s="3"/>
      <c r="V52" s="7">
        <f t="shared" si="5"/>
        <v>3.8203851845719193E-2</v>
      </c>
      <c r="W52" s="3"/>
      <c r="X52" s="8">
        <f t="shared" si="6"/>
        <v>4910.3899999999994</v>
      </c>
      <c r="Y52" s="3"/>
      <c r="Z52" s="7">
        <f t="shared" si="7"/>
        <v>0.26603044750243793</v>
      </c>
    </row>
    <row r="53" spans="1:26" s="69" customFormat="1" ht="15" customHeight="1" outlineLevel="1" collapsed="1" x14ac:dyDescent="0.25">
      <c r="A53" s="26"/>
      <c r="B53" s="14" t="str">
        <f>CONCATENATE("     ","Depreciation                                      ")</f>
        <v xml:space="preserve">     Depreciation                                      </v>
      </c>
      <c r="C53" s="14"/>
      <c r="D53" s="2">
        <f>SUM(OSRRefD22_5x_0)</f>
        <v>5231.5</v>
      </c>
      <c r="E53" s="2"/>
      <c r="F53" s="6">
        <f t="shared" si="0"/>
        <v>7.1927539826532466E-2</v>
      </c>
      <c r="G53" s="2"/>
      <c r="H53" s="2">
        <f>SUM(OSRRefH22_5x_0)</f>
        <v>4733</v>
      </c>
      <c r="I53" s="2"/>
      <c r="J53" s="6">
        <f t="shared" si="1"/>
        <v>7.8942540238512215E-2</v>
      </c>
      <c r="K53" s="2"/>
      <c r="L53" s="2">
        <f t="shared" si="2"/>
        <v>498.5</v>
      </c>
      <c r="M53" s="2"/>
      <c r="N53" s="6">
        <f t="shared" si="3"/>
        <v>0.1053243186139869</v>
      </c>
      <c r="O53" s="14"/>
      <c r="P53" s="2">
        <f>SUM(OSRRefP22_5x_0)</f>
        <v>52015.07</v>
      </c>
      <c r="Q53" s="2"/>
      <c r="R53" s="6">
        <f t="shared" si="4"/>
        <v>7.7222909645160348E-2</v>
      </c>
      <c r="S53" s="2"/>
      <c r="T53" s="2">
        <f>SUM(OSRRefT22_5x_0)</f>
        <v>52063</v>
      </c>
      <c r="U53" s="2"/>
      <c r="V53" s="6">
        <f t="shared" si="5"/>
        <v>0.10775854039677529</v>
      </c>
      <c r="W53" s="2"/>
      <c r="X53" s="2">
        <f t="shared" si="6"/>
        <v>-47.930000000000291</v>
      </c>
      <c r="Y53" s="2"/>
      <c r="Z53" s="6">
        <f t="shared" si="7"/>
        <v>-9.2061540825538854E-4</v>
      </c>
    </row>
    <row r="54" spans="1:26" s="70" customFormat="1" ht="15" hidden="1" customHeight="1" outlineLevel="2" x14ac:dyDescent="0.25">
      <c r="A54" s="25"/>
      <c r="B54" s="12" t="str">
        <f>CONCATENATE("          ","6321"," - ","BUILDING DEPRECIATION")</f>
        <v xml:space="preserve">          6321 - BUILDING DEPRECIATION</v>
      </c>
      <c r="C54" s="12"/>
      <c r="D54" s="8">
        <v>4626.5</v>
      </c>
      <c r="E54" s="3"/>
      <c r="F54" s="7">
        <f t="shared" si="0"/>
        <v>6.3609435727315769E-2</v>
      </c>
      <c r="G54" s="3"/>
      <c r="H54" s="8"/>
      <c r="I54" s="3"/>
      <c r="J54" s="7">
        <f t="shared" si="1"/>
        <v>0</v>
      </c>
      <c r="K54" s="3"/>
      <c r="L54" s="8">
        <f t="shared" si="2"/>
        <v>4626.5</v>
      </c>
      <c r="M54" s="3"/>
      <c r="N54" s="7">
        <f t="shared" si="3"/>
        <v>0</v>
      </c>
      <c r="O54" s="12"/>
      <c r="P54" s="8">
        <v>50891.5</v>
      </c>
      <c r="Q54" s="3"/>
      <c r="R54" s="7">
        <f t="shared" si="4"/>
        <v>7.5554828748796793E-2</v>
      </c>
      <c r="S54" s="3"/>
      <c r="T54" s="8"/>
      <c r="U54" s="3"/>
      <c r="V54" s="7">
        <f t="shared" si="5"/>
        <v>0</v>
      </c>
      <c r="W54" s="3"/>
      <c r="X54" s="8">
        <f t="shared" si="6"/>
        <v>50891.5</v>
      </c>
      <c r="Y54" s="3"/>
      <c r="Z54" s="7">
        <f t="shared" si="7"/>
        <v>0</v>
      </c>
    </row>
    <row r="55" spans="1:26" s="70" customFormat="1" ht="15" hidden="1" customHeight="1" outlineLevel="2" x14ac:dyDescent="0.25">
      <c r="A55" s="25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605</v>
      </c>
      <c r="E55" s="3"/>
      <c r="F55" s="7">
        <f t="shared" si="0"/>
        <v>8.3181040992166954E-3</v>
      </c>
      <c r="G55" s="3"/>
      <c r="H55" s="8">
        <v>4733</v>
      </c>
      <c r="I55" s="3"/>
      <c r="J55" s="7">
        <f t="shared" si="1"/>
        <v>7.8942540238512215E-2</v>
      </c>
      <c r="K55" s="3"/>
      <c r="L55" s="8">
        <f t="shared" si="2"/>
        <v>-4128</v>
      </c>
      <c r="M55" s="3"/>
      <c r="N55" s="7">
        <f t="shared" si="3"/>
        <v>-0.872174096767378</v>
      </c>
      <c r="O55" s="12"/>
      <c r="P55" s="8">
        <v>1123.57</v>
      </c>
      <c r="Q55" s="3"/>
      <c r="R55" s="7">
        <f t="shared" si="4"/>
        <v>1.6680808963635502E-3</v>
      </c>
      <c r="S55" s="3"/>
      <c r="T55" s="8">
        <v>52063</v>
      </c>
      <c r="U55" s="3"/>
      <c r="V55" s="7">
        <f t="shared" si="5"/>
        <v>0.10775854039677529</v>
      </c>
      <c r="W55" s="3"/>
      <c r="X55" s="8">
        <f t="shared" si="6"/>
        <v>-50939.43</v>
      </c>
      <c r="Y55" s="3"/>
      <c r="Z55" s="7">
        <f t="shared" si="7"/>
        <v>-0.97841903078962023</v>
      </c>
    </row>
    <row r="56" spans="1:26" s="69" customFormat="1" ht="15" customHeight="1" outlineLevel="1" collapsed="1" x14ac:dyDescent="0.25">
      <c r="A56" s="26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20</v>
      </c>
      <c r="I56" s="2"/>
      <c r="J56" s="6">
        <f t="shared" si="1"/>
        <v>3.3358352097406389E-4</v>
      </c>
      <c r="K56" s="2"/>
      <c r="L56" s="2">
        <f t="shared" si="2"/>
        <v>-20</v>
      </c>
      <c r="M56" s="2"/>
      <c r="N56" s="6">
        <f t="shared" si="3"/>
        <v>-1</v>
      </c>
      <c r="O56" s="14"/>
      <c r="P56" s="2">
        <f>SUM(OSRRefP22_6x_0)</f>
        <v>246.92</v>
      </c>
      <c r="Q56" s="2"/>
      <c r="R56" s="6">
        <f t="shared" si="4"/>
        <v>3.6658377753952828E-4</v>
      </c>
      <c r="S56" s="2"/>
      <c r="T56" s="2">
        <f>SUM(OSRRefT22_6x_0)</f>
        <v>140</v>
      </c>
      <c r="U56" s="2"/>
      <c r="V56" s="6">
        <f t="shared" si="5"/>
        <v>2.8976808204576263E-4</v>
      </c>
      <c r="W56" s="2"/>
      <c r="X56" s="2">
        <f t="shared" si="6"/>
        <v>106.91999999999999</v>
      </c>
      <c r="Y56" s="2"/>
      <c r="Z56" s="6">
        <f t="shared" si="7"/>
        <v>0.76371428571428568</v>
      </c>
    </row>
    <row r="57" spans="1:26" s="70" customFormat="1" ht="15" hidden="1" customHeight="1" outlineLevel="2" x14ac:dyDescent="0.25">
      <c r="A57" s="25"/>
      <c r="B57" s="12" t="str">
        <f>CONCATENATE("          ","6277"," - ","EMPLOYEE APPRECIATION")</f>
        <v xml:space="preserve">          6277 - EMPLOYEE APPRECIATION</v>
      </c>
      <c r="C57" s="12"/>
      <c r="D57" s="8"/>
      <c r="E57" s="3"/>
      <c r="F57" s="7">
        <f t="shared" ref="F57:F89" si="8">IF(D$12=0,0,D57/D$12)</f>
        <v>0</v>
      </c>
      <c r="G57" s="3"/>
      <c r="H57" s="8">
        <v>20</v>
      </c>
      <c r="I57" s="3"/>
      <c r="J57" s="7">
        <f t="shared" ref="J57:J89" si="9">IF(H$12=0,0,H57/H$12)</f>
        <v>3.3358352097406389E-4</v>
      </c>
      <c r="K57" s="3"/>
      <c r="L57" s="8">
        <f t="shared" ref="L57:L89" si="10">+D57-H57</f>
        <v>-20</v>
      </c>
      <c r="M57" s="3"/>
      <c r="N57" s="7">
        <f t="shared" ref="N57:N89" si="11">IF(H57=0,0,L57/H57)</f>
        <v>-1</v>
      </c>
      <c r="O57" s="12"/>
      <c r="P57" s="8">
        <v>246.92</v>
      </c>
      <c r="Q57" s="3"/>
      <c r="R57" s="7">
        <f t="shared" ref="R57:R89" si="12">IF(P$12=0,0,P57/P$12)</f>
        <v>3.6658377753952828E-4</v>
      </c>
      <c r="S57" s="3"/>
      <c r="T57" s="8">
        <v>140</v>
      </c>
      <c r="U57" s="3"/>
      <c r="V57" s="7">
        <f t="shared" ref="V57:V89" si="13">IF(T$12=0,0,T57/T$12)</f>
        <v>2.8976808204576263E-4</v>
      </c>
      <c r="W57" s="3"/>
      <c r="X57" s="8">
        <f t="shared" ref="X57:X89" si="14">+P57-T57</f>
        <v>106.91999999999999</v>
      </c>
      <c r="Y57" s="3"/>
      <c r="Z57" s="7">
        <f t="shared" ref="Z57:Z89" si="15">IF(T57=0,0,X57/T57)</f>
        <v>0.76371428571428568</v>
      </c>
    </row>
    <row r="58" spans="1:26" s="69" customFormat="1" ht="15" customHeight="1" outlineLevel="1" collapsed="1" x14ac:dyDescent="0.25">
      <c r="A58" s="26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SUM(OSRRefD22_7x_0)</f>
        <v>41.35</v>
      </c>
      <c r="E58" s="2"/>
      <c r="F58" s="6">
        <f t="shared" si="8"/>
        <v>5.6851835454976927E-4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41.35</v>
      </c>
      <c r="M58" s="2"/>
      <c r="N58" s="6">
        <f t="shared" si="11"/>
        <v>0</v>
      </c>
      <c r="O58" s="14"/>
      <c r="P58" s="2">
        <f>SUM(OSRRefP22_7x_0)</f>
        <v>1343.25</v>
      </c>
      <c r="Q58" s="2"/>
      <c r="R58" s="6">
        <f t="shared" si="12"/>
        <v>1.9942234698686677E-3</v>
      </c>
      <c r="S58" s="2"/>
      <c r="T58" s="2">
        <f>SUM(OSRRefT22_7x_0)</f>
        <v>500</v>
      </c>
      <c r="U58" s="2"/>
      <c r="V58" s="6">
        <f t="shared" si="13"/>
        <v>1.0348860073062952E-3</v>
      </c>
      <c r="W58" s="2"/>
      <c r="X58" s="2">
        <f t="shared" si="14"/>
        <v>843.25</v>
      </c>
      <c r="Y58" s="2"/>
      <c r="Z58" s="6">
        <f t="shared" si="15"/>
        <v>1.6865000000000001</v>
      </c>
    </row>
    <row r="59" spans="1:26" s="70" customFormat="1" ht="15" hidden="1" customHeight="1" outlineLevel="2" x14ac:dyDescent="0.25">
      <c r="A59" s="25"/>
      <c r="B59" s="12" t="str">
        <f>CONCATENATE("          ","6279"," - ","GENERAL EXPENSE")</f>
        <v xml:space="preserve">          6279 - GENERAL EXPENSE</v>
      </c>
      <c r="C59" s="12"/>
      <c r="D59" s="8">
        <v>41.35</v>
      </c>
      <c r="E59" s="3"/>
      <c r="F59" s="7">
        <f t="shared" si="8"/>
        <v>5.6851835454976927E-4</v>
      </c>
      <c r="G59" s="3"/>
      <c r="H59" s="8"/>
      <c r="I59" s="3"/>
      <c r="J59" s="7">
        <f t="shared" si="9"/>
        <v>0</v>
      </c>
      <c r="K59" s="3"/>
      <c r="L59" s="8">
        <f t="shared" si="10"/>
        <v>41.35</v>
      </c>
      <c r="M59" s="3"/>
      <c r="N59" s="7">
        <f t="shared" si="11"/>
        <v>0</v>
      </c>
      <c r="O59" s="12"/>
      <c r="P59" s="8">
        <v>1343.25</v>
      </c>
      <c r="Q59" s="3"/>
      <c r="R59" s="7">
        <f t="shared" si="12"/>
        <v>1.9942234698686677E-3</v>
      </c>
      <c r="S59" s="3"/>
      <c r="T59" s="8">
        <v>500</v>
      </c>
      <c r="U59" s="3"/>
      <c r="V59" s="7">
        <f t="shared" si="13"/>
        <v>1.0348860073062952E-3</v>
      </c>
      <c r="W59" s="3"/>
      <c r="X59" s="8">
        <f t="shared" si="14"/>
        <v>843.25</v>
      </c>
      <c r="Y59" s="3"/>
      <c r="Z59" s="7">
        <f t="shared" si="15"/>
        <v>1.6865000000000001</v>
      </c>
    </row>
    <row r="60" spans="1:26" s="69" customFormat="1" ht="15" customHeight="1" outlineLevel="1" collapsed="1" x14ac:dyDescent="0.25">
      <c r="A60" s="26"/>
      <c r="B60" s="14" t="str">
        <f>CONCATENATE("     ","Rent                                              ")</f>
        <v xml:space="preserve">     Rent                                              </v>
      </c>
      <c r="C60" s="14"/>
      <c r="D60" s="2">
        <f>SUM(OSRRefD22_8x_0)</f>
        <v>1850</v>
      </c>
      <c r="E60" s="2"/>
      <c r="F60" s="6">
        <f t="shared" si="8"/>
        <v>2.5435524931489071E-2</v>
      </c>
      <c r="G60" s="2"/>
      <c r="H60" s="2">
        <f>SUM(OSRRefH22_8x_0)</f>
        <v>1850</v>
      </c>
      <c r="I60" s="2"/>
      <c r="J60" s="6">
        <f t="shared" si="9"/>
        <v>3.0856475690100908E-2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20350</v>
      </c>
      <c r="Q60" s="2"/>
      <c r="R60" s="6">
        <f t="shared" si="12"/>
        <v>3.0212132969906855E-2</v>
      </c>
      <c r="S60" s="2"/>
      <c r="T60" s="2">
        <f>SUM(OSRRefT22_8x_0)</f>
        <v>20350</v>
      </c>
      <c r="U60" s="2"/>
      <c r="V60" s="6">
        <f t="shared" si="13"/>
        <v>4.2119860497366213E-2</v>
      </c>
      <c r="W60" s="2"/>
      <c r="X60" s="2">
        <f t="shared" si="14"/>
        <v>0</v>
      </c>
      <c r="Y60" s="2"/>
      <c r="Z60" s="6">
        <f t="shared" si="15"/>
        <v>0</v>
      </c>
    </row>
    <row r="61" spans="1:26" s="70" customFormat="1" ht="15" hidden="1" customHeight="1" outlineLevel="2" x14ac:dyDescent="0.25">
      <c r="A61" s="25"/>
      <c r="B61" s="12" t="str">
        <f>CONCATENATE("          ","6273"," - ","RENT")</f>
        <v xml:space="preserve">          6273 - RENT</v>
      </c>
      <c r="C61" s="12"/>
      <c r="D61" s="8">
        <v>1850</v>
      </c>
      <c r="E61" s="3"/>
      <c r="F61" s="7">
        <f t="shared" si="8"/>
        <v>2.5435524931489071E-2</v>
      </c>
      <c r="G61" s="3"/>
      <c r="H61" s="8">
        <v>1850</v>
      </c>
      <c r="I61" s="3"/>
      <c r="J61" s="7">
        <f t="shared" si="9"/>
        <v>3.0856475690100908E-2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20350</v>
      </c>
      <c r="Q61" s="3"/>
      <c r="R61" s="7">
        <f t="shared" si="12"/>
        <v>3.0212132969906855E-2</v>
      </c>
      <c r="S61" s="3"/>
      <c r="T61" s="8">
        <v>20350</v>
      </c>
      <c r="U61" s="3"/>
      <c r="V61" s="7">
        <f t="shared" si="13"/>
        <v>4.2119860497366213E-2</v>
      </c>
      <c r="W61" s="3"/>
      <c r="X61" s="8">
        <f t="shared" si="14"/>
        <v>0</v>
      </c>
      <c r="Y61" s="3"/>
      <c r="Z61" s="7">
        <f t="shared" si="15"/>
        <v>0</v>
      </c>
    </row>
    <row r="62" spans="1:26" s="69" customFormat="1" ht="15" customHeight="1" outlineLevel="1" collapsed="1" x14ac:dyDescent="0.25">
      <c r="A62" s="26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SUM(OSRRefD22_9x_0)</f>
        <v>65.63</v>
      </c>
      <c r="E62" s="2"/>
      <c r="F62" s="6">
        <f t="shared" si="8"/>
        <v>9.0234243311006896E-4</v>
      </c>
      <c r="G62" s="2"/>
      <c r="H62" s="2">
        <f>SUM(OSRRefH22_9x_0)</f>
        <v>500</v>
      </c>
      <c r="I62" s="2"/>
      <c r="J62" s="6">
        <f t="shared" si="9"/>
        <v>8.3395880243515973E-3</v>
      </c>
      <c r="K62" s="2"/>
      <c r="L62" s="2">
        <f t="shared" si="10"/>
        <v>-434.37</v>
      </c>
      <c r="M62" s="2"/>
      <c r="N62" s="6">
        <f t="shared" si="11"/>
        <v>-0.86873999999999996</v>
      </c>
      <c r="O62" s="14"/>
      <c r="P62" s="2">
        <f>SUM(OSRRefP22_9x_0)</f>
        <v>8563.7199999999993</v>
      </c>
      <c r="Q62" s="2"/>
      <c r="R62" s="6">
        <f t="shared" si="12"/>
        <v>1.2713918789044262E-2</v>
      </c>
      <c r="S62" s="2"/>
      <c r="T62" s="2">
        <f>SUM(OSRRefT22_9x_0)</f>
        <v>6100</v>
      </c>
      <c r="U62" s="2"/>
      <c r="V62" s="6">
        <f t="shared" si="13"/>
        <v>1.2625609289136801E-2</v>
      </c>
      <c r="W62" s="2"/>
      <c r="X62" s="2">
        <f t="shared" si="14"/>
        <v>2463.7199999999993</v>
      </c>
      <c r="Y62" s="2"/>
      <c r="Z62" s="6">
        <f t="shared" si="15"/>
        <v>0.40388852459016383</v>
      </c>
    </row>
    <row r="63" spans="1:26" s="70" customFormat="1" ht="15" hidden="1" customHeight="1" outlineLevel="2" x14ac:dyDescent="0.25">
      <c r="A63" s="25"/>
      <c r="B63" s="12" t="str">
        <f>CONCATENATE("          ","6373"," - ","MAINTENANCE CONTRACTS")</f>
        <v xml:space="preserve">          6373 - MAINTENANCE CONTRACTS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221.64</v>
      </c>
      <c r="Q63" s="3"/>
      <c r="R63" s="7">
        <f t="shared" si="12"/>
        <v>3.290524398747005E-4</v>
      </c>
      <c r="S63" s="3"/>
      <c r="T63" s="8">
        <v>600</v>
      </c>
      <c r="U63" s="3"/>
      <c r="V63" s="7">
        <f t="shared" si="13"/>
        <v>1.2418632087675542E-3</v>
      </c>
      <c r="W63" s="3"/>
      <c r="X63" s="8">
        <f t="shared" si="14"/>
        <v>-378.36</v>
      </c>
      <c r="Y63" s="3"/>
      <c r="Z63" s="7">
        <f t="shared" si="15"/>
        <v>-0.63060000000000005</v>
      </c>
    </row>
    <row r="64" spans="1:26" s="70" customFormat="1" ht="15" hidden="1" customHeight="1" outlineLevel="2" x14ac:dyDescent="0.25">
      <c r="A64" s="25"/>
      <c r="B64" s="12" t="str">
        <f>CONCATENATE("          ","6375"," - ","OUTSIDE REPAIRS &amp; MAINTENANCE")</f>
        <v xml:space="preserve">          6375 - OUTSIDE REPAIRS &amp; MAINTENANCE</v>
      </c>
      <c r="C64" s="12"/>
      <c r="D64" s="8">
        <v>65.63</v>
      </c>
      <c r="E64" s="3"/>
      <c r="F64" s="7">
        <f t="shared" si="8"/>
        <v>9.0234243311006896E-4</v>
      </c>
      <c r="G64" s="3"/>
      <c r="H64" s="8">
        <v>500</v>
      </c>
      <c r="I64" s="3"/>
      <c r="J64" s="7">
        <f t="shared" si="9"/>
        <v>8.3395880243515973E-3</v>
      </c>
      <c r="K64" s="3"/>
      <c r="L64" s="8">
        <f t="shared" si="10"/>
        <v>-434.37</v>
      </c>
      <c r="M64" s="3"/>
      <c r="N64" s="7">
        <f t="shared" si="11"/>
        <v>-0.86873999999999996</v>
      </c>
      <c r="O64" s="12"/>
      <c r="P64" s="8">
        <v>8342.08</v>
      </c>
      <c r="Q64" s="3"/>
      <c r="R64" s="7">
        <f t="shared" si="12"/>
        <v>1.2384866349169563E-2</v>
      </c>
      <c r="S64" s="3"/>
      <c r="T64" s="8">
        <v>5500</v>
      </c>
      <c r="U64" s="3"/>
      <c r="V64" s="7">
        <f t="shared" si="13"/>
        <v>1.1383746080369248E-2</v>
      </c>
      <c r="W64" s="3"/>
      <c r="X64" s="8">
        <f t="shared" si="14"/>
        <v>2842.08</v>
      </c>
      <c r="Y64" s="3"/>
      <c r="Z64" s="7">
        <f t="shared" si="15"/>
        <v>0.51674181818181819</v>
      </c>
    </row>
    <row r="65" spans="1:26" s="69" customFormat="1" ht="15" customHeight="1" outlineLevel="1" collapsed="1" x14ac:dyDescent="0.25">
      <c r="A65" s="26"/>
      <c r="B65" s="14" t="str">
        <f>CONCATENATE("     ","Services                                          ")</f>
        <v xml:space="preserve">     Services                                          </v>
      </c>
      <c r="C65" s="14"/>
      <c r="D65" s="2">
        <f>SUM(OSRRefD22_10x_0)</f>
        <v>1136.5999999999999</v>
      </c>
      <c r="E65" s="2"/>
      <c r="F65" s="6">
        <f t="shared" si="8"/>
        <v>1.5627036560611068E-2</v>
      </c>
      <c r="G65" s="2"/>
      <c r="H65" s="2">
        <f>SUM(OSRRefH22_10x_0)</f>
        <v>2273</v>
      </c>
      <c r="I65" s="2"/>
      <c r="J65" s="6">
        <f t="shared" si="9"/>
        <v>3.7911767158702363E-2</v>
      </c>
      <c r="K65" s="2"/>
      <c r="L65" s="2">
        <f t="shared" si="10"/>
        <v>-1136.4000000000001</v>
      </c>
      <c r="M65" s="2"/>
      <c r="N65" s="6">
        <f t="shared" si="11"/>
        <v>-0.49995600527936651</v>
      </c>
      <c r="O65" s="14"/>
      <c r="P65" s="2">
        <f>SUM(OSRRefP22_10x_0)</f>
        <v>7574.7</v>
      </c>
      <c r="Q65" s="2"/>
      <c r="R65" s="6">
        <f t="shared" si="12"/>
        <v>1.1245594280449802E-2</v>
      </c>
      <c r="S65" s="2"/>
      <c r="T65" s="2">
        <f>SUM(OSRRefT22_10x_0)</f>
        <v>22790</v>
      </c>
      <c r="U65" s="2"/>
      <c r="V65" s="6">
        <f t="shared" si="13"/>
        <v>4.7170104213020939E-2</v>
      </c>
      <c r="W65" s="2"/>
      <c r="X65" s="2">
        <f t="shared" si="14"/>
        <v>-15215.3</v>
      </c>
      <c r="Y65" s="2"/>
      <c r="Z65" s="6">
        <f t="shared" si="15"/>
        <v>-0.66763053971039932</v>
      </c>
    </row>
    <row r="66" spans="1:26" s="70" customFormat="1" ht="15" hidden="1" customHeight="1" outlineLevel="2" x14ac:dyDescent="0.25">
      <c r="A66" s="25"/>
      <c r="B66" s="12" t="str">
        <f>CONCATENATE("          ","6282"," - ","JANITORIAL/EXTERMINATOR EXPENS")</f>
        <v xml:space="preserve">          6282 - JANITORIAL/EXTERMINATOR EXPENS</v>
      </c>
      <c r="C66" s="12"/>
      <c r="D66" s="8"/>
      <c r="E66" s="3"/>
      <c r="F66" s="7">
        <f t="shared" si="8"/>
        <v>0</v>
      </c>
      <c r="G66" s="3"/>
      <c r="H66" s="8">
        <v>150</v>
      </c>
      <c r="I66" s="3"/>
      <c r="J66" s="7">
        <f t="shared" si="9"/>
        <v>2.5018764073054789E-3</v>
      </c>
      <c r="K66" s="3"/>
      <c r="L66" s="8">
        <f t="shared" si="10"/>
        <v>-150</v>
      </c>
      <c r="M66" s="3"/>
      <c r="N66" s="7">
        <f t="shared" si="11"/>
        <v>-1</v>
      </c>
      <c r="O66" s="12"/>
      <c r="P66" s="8">
        <v>831.86</v>
      </c>
      <c r="Q66" s="3"/>
      <c r="R66" s="7">
        <f t="shared" si="12"/>
        <v>1.2350007337762516E-3</v>
      </c>
      <c r="S66" s="3"/>
      <c r="T66" s="8">
        <v>1550</v>
      </c>
      <c r="U66" s="3"/>
      <c r="V66" s="7">
        <f t="shared" si="13"/>
        <v>3.2081466226495151E-3</v>
      </c>
      <c r="W66" s="3"/>
      <c r="X66" s="8">
        <f t="shared" si="14"/>
        <v>-718.14</v>
      </c>
      <c r="Y66" s="3"/>
      <c r="Z66" s="7">
        <f t="shared" si="15"/>
        <v>-0.46331612903225805</v>
      </c>
    </row>
    <row r="67" spans="1:26" s="70" customFormat="1" ht="15" hidden="1" customHeight="1" outlineLevel="2" x14ac:dyDescent="0.25">
      <c r="A67" s="25"/>
      <c r="B67" s="12" t="str">
        <f>CONCATENATE("          ","6284"," - ","TRASH REMOVAL EXPENSE")</f>
        <v xml:space="preserve">          6284 - TRASH REMOVAL EXPENSE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25">
      <c r="A68" s="25"/>
      <c r="B68" s="12" t="str">
        <f>CONCATENATE("          ","6285"," - ","JANITORIAL SERVICES")</f>
        <v xml:space="preserve">          6285 - JANITORIAL SERVICES</v>
      </c>
      <c r="C68" s="12"/>
      <c r="D68" s="8"/>
      <c r="E68" s="3"/>
      <c r="F68" s="7">
        <f t="shared" si="8"/>
        <v>0</v>
      </c>
      <c r="G68" s="3"/>
      <c r="H68" s="8">
        <v>2083</v>
      </c>
      <c r="I68" s="3"/>
      <c r="J68" s="7">
        <f t="shared" si="9"/>
        <v>3.4742723709448753E-2</v>
      </c>
      <c r="K68" s="3"/>
      <c r="L68" s="8">
        <f t="shared" si="10"/>
        <v>-2083</v>
      </c>
      <c r="M68" s="3"/>
      <c r="N68" s="7">
        <f t="shared" si="11"/>
        <v>-1</v>
      </c>
      <c r="O68" s="12"/>
      <c r="P68" s="8">
        <v>3660</v>
      </c>
      <c r="Q68" s="3"/>
      <c r="R68" s="7">
        <f t="shared" si="12"/>
        <v>5.4337300574869331E-3</v>
      </c>
      <c r="S68" s="3"/>
      <c r="T68" s="8">
        <v>20830</v>
      </c>
      <c r="U68" s="3"/>
      <c r="V68" s="7">
        <f t="shared" si="13"/>
        <v>4.3113351064380259E-2</v>
      </c>
      <c r="W68" s="3"/>
      <c r="X68" s="8">
        <f t="shared" si="14"/>
        <v>-17170</v>
      </c>
      <c r="Y68" s="3"/>
      <c r="Z68" s="7">
        <f t="shared" si="15"/>
        <v>-0.82429188670187226</v>
      </c>
    </row>
    <row r="69" spans="1:26" s="70" customFormat="1" ht="15" hidden="1" customHeight="1" outlineLevel="2" x14ac:dyDescent="0.25">
      <c r="A69" s="25"/>
      <c r="B69" s="12" t="str">
        <f>CONCATENATE("          ","6286"," - ","LAUNDRY EXPENSE")</f>
        <v xml:space="preserve">          6286 - LAUNDRY EXPENSE</v>
      </c>
      <c r="C69" s="12"/>
      <c r="D69" s="8">
        <v>1136.5999999999999</v>
      </c>
      <c r="E69" s="3"/>
      <c r="F69" s="7">
        <f t="shared" si="8"/>
        <v>1.5627036560611068E-2</v>
      </c>
      <c r="G69" s="3"/>
      <c r="H69" s="8">
        <v>40</v>
      </c>
      <c r="I69" s="3"/>
      <c r="J69" s="7">
        <f t="shared" si="9"/>
        <v>6.6716704194812778E-4</v>
      </c>
      <c r="K69" s="3"/>
      <c r="L69" s="8">
        <f t="shared" si="10"/>
        <v>1096.5999999999999</v>
      </c>
      <c r="M69" s="3"/>
      <c r="N69" s="7">
        <f t="shared" si="11"/>
        <v>27.414999999999999</v>
      </c>
      <c r="O69" s="12"/>
      <c r="P69" s="8">
        <v>3082.84</v>
      </c>
      <c r="Q69" s="3"/>
      <c r="R69" s="7">
        <f t="shared" si="12"/>
        <v>4.576863489186617E-3</v>
      </c>
      <c r="S69" s="3"/>
      <c r="T69" s="8">
        <v>410</v>
      </c>
      <c r="U69" s="3"/>
      <c r="V69" s="7">
        <f t="shared" si="13"/>
        <v>8.486065259911621E-4</v>
      </c>
      <c r="W69" s="3"/>
      <c r="X69" s="8">
        <f t="shared" si="14"/>
        <v>2672.84</v>
      </c>
      <c r="Y69" s="3"/>
      <c r="Z69" s="7">
        <f t="shared" si="15"/>
        <v>6.5191219512195122</v>
      </c>
    </row>
    <row r="70" spans="1:26" s="69" customFormat="1" ht="15" customHeight="1" outlineLevel="1" collapsed="1" x14ac:dyDescent="0.25">
      <c r="A70" s="26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SUM(OSRRefD22_11x_0)</f>
        <v>17.95</v>
      </c>
      <c r="E70" s="2"/>
      <c r="F70" s="6">
        <f t="shared" si="8"/>
        <v>2.4679333649742094E-4</v>
      </c>
      <c r="G70" s="2"/>
      <c r="H70" s="2">
        <f>SUM(OSRRefH22_11x_0)</f>
        <v>30</v>
      </c>
      <c r="I70" s="2"/>
      <c r="J70" s="6">
        <f t="shared" si="9"/>
        <v>5.0037528146109581E-4</v>
      </c>
      <c r="K70" s="2"/>
      <c r="L70" s="2">
        <f t="shared" si="10"/>
        <v>-12.05</v>
      </c>
      <c r="M70" s="2"/>
      <c r="N70" s="6">
        <f t="shared" si="11"/>
        <v>-0.40166666666666667</v>
      </c>
      <c r="O70" s="14"/>
      <c r="P70" s="2">
        <f>SUM(OSRRefP22_11x_0)</f>
        <v>325.64</v>
      </c>
      <c r="Q70" s="2"/>
      <c r="R70" s="6">
        <f t="shared" si="12"/>
        <v>4.8345351254646036E-4</v>
      </c>
      <c r="S70" s="2"/>
      <c r="T70" s="2">
        <f>SUM(OSRRefT22_11x_0)</f>
        <v>300</v>
      </c>
      <c r="U70" s="2"/>
      <c r="V70" s="6">
        <f t="shared" si="13"/>
        <v>6.209316043837771E-4</v>
      </c>
      <c r="W70" s="2"/>
      <c r="X70" s="2">
        <f t="shared" si="14"/>
        <v>25.639999999999986</v>
      </c>
      <c r="Y70" s="2"/>
      <c r="Z70" s="6">
        <f t="shared" si="15"/>
        <v>8.5466666666666621E-2</v>
      </c>
    </row>
    <row r="71" spans="1:26" s="70" customFormat="1" ht="15" hidden="1" customHeight="1" outlineLevel="2" x14ac:dyDescent="0.25">
      <c r="A71" s="25"/>
      <c r="B71" s="12" t="str">
        <f>CONCATENATE("          ","6275"," - ","SUBSCRIPTIONS")</f>
        <v xml:space="preserve">          6275 - SUBSCRIPTIONS</v>
      </c>
      <c r="C71" s="12"/>
      <c r="D71" s="8">
        <v>17.95</v>
      </c>
      <c r="E71" s="3"/>
      <c r="F71" s="7">
        <f t="shared" si="8"/>
        <v>2.4679333649742094E-4</v>
      </c>
      <c r="G71" s="3"/>
      <c r="H71" s="8">
        <v>30</v>
      </c>
      <c r="I71" s="3"/>
      <c r="J71" s="7">
        <f t="shared" si="9"/>
        <v>5.0037528146109581E-4</v>
      </c>
      <c r="K71" s="3"/>
      <c r="L71" s="8">
        <f t="shared" si="10"/>
        <v>-12.05</v>
      </c>
      <c r="M71" s="3"/>
      <c r="N71" s="7">
        <f t="shared" si="11"/>
        <v>-0.40166666666666667</v>
      </c>
      <c r="O71" s="12"/>
      <c r="P71" s="8">
        <v>325.64</v>
      </c>
      <c r="Q71" s="3"/>
      <c r="R71" s="7">
        <f t="shared" si="12"/>
        <v>4.8345351254646036E-4</v>
      </c>
      <c r="S71" s="3"/>
      <c r="T71" s="8">
        <v>300</v>
      </c>
      <c r="U71" s="3"/>
      <c r="V71" s="7">
        <f t="shared" si="13"/>
        <v>6.209316043837771E-4</v>
      </c>
      <c r="W71" s="3"/>
      <c r="X71" s="8">
        <f t="shared" si="14"/>
        <v>25.639999999999986</v>
      </c>
      <c r="Y71" s="3"/>
      <c r="Z71" s="7">
        <f t="shared" si="15"/>
        <v>8.5466666666666621E-2</v>
      </c>
    </row>
    <row r="72" spans="1:26" s="69" customFormat="1" ht="15" customHeight="1" outlineLevel="1" collapsed="1" x14ac:dyDescent="0.25">
      <c r="A72" s="26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SUM(OSRRefD22_12x_0)</f>
        <v>559.34</v>
      </c>
      <c r="E72" s="2"/>
      <c r="F72" s="6">
        <f t="shared" si="8"/>
        <v>7.6903278460427552E-3</v>
      </c>
      <c r="G72" s="2"/>
      <c r="H72" s="2">
        <f>SUM(OSRRefH22_12x_0)</f>
        <v>525</v>
      </c>
      <c r="I72" s="2"/>
      <c r="J72" s="6">
        <f t="shared" si="9"/>
        <v>8.7565674255691769E-3</v>
      </c>
      <c r="K72" s="2"/>
      <c r="L72" s="2">
        <f t="shared" si="10"/>
        <v>34.340000000000032</v>
      </c>
      <c r="M72" s="2"/>
      <c r="N72" s="6">
        <f t="shared" si="11"/>
        <v>6.5409523809523876E-2</v>
      </c>
      <c r="O72" s="14"/>
      <c r="P72" s="2">
        <f>SUM(OSRRefP22_12x_0)</f>
        <v>14002.34</v>
      </c>
      <c r="Q72" s="2"/>
      <c r="R72" s="6">
        <f t="shared" si="12"/>
        <v>2.078823380687202E-2</v>
      </c>
      <c r="S72" s="2"/>
      <c r="T72" s="2">
        <f>SUM(OSRRefT22_12x_0)</f>
        <v>7850</v>
      </c>
      <c r="U72" s="2"/>
      <c r="V72" s="6">
        <f t="shared" si="13"/>
        <v>1.6247710314708834E-2</v>
      </c>
      <c r="W72" s="2"/>
      <c r="X72" s="2">
        <f t="shared" si="14"/>
        <v>6152.34</v>
      </c>
      <c r="Y72" s="2"/>
      <c r="Z72" s="6">
        <f t="shared" si="15"/>
        <v>0.78373757961783441</v>
      </c>
    </row>
    <row r="73" spans="1:26" s="70" customFormat="1" ht="15" hidden="1" customHeight="1" outlineLevel="2" x14ac:dyDescent="0.25">
      <c r="A73" s="25"/>
      <c r="B73" s="12" t="str">
        <f>CONCATENATE("          ","6234"," - ","EXPENDABLE SUPPLIES &amp; EQUIPMEN")</f>
        <v xml:space="preserve">          6234 - EXPENDABLE SUPPLIES &amp; EQUIPMEN</v>
      </c>
      <c r="C73" s="12"/>
      <c r="D73" s="8"/>
      <c r="E73" s="3"/>
      <c r="F73" s="7">
        <f t="shared" si="8"/>
        <v>0</v>
      </c>
      <c r="G73" s="3"/>
      <c r="H73" s="8"/>
      <c r="I73" s="3"/>
      <c r="J73" s="7">
        <f t="shared" si="9"/>
        <v>0</v>
      </c>
      <c r="K73" s="3"/>
      <c r="L73" s="8">
        <f t="shared" si="10"/>
        <v>0</v>
      </c>
      <c r="M73" s="3"/>
      <c r="N73" s="7">
        <f t="shared" si="11"/>
        <v>0</v>
      </c>
      <c r="O73" s="12"/>
      <c r="P73" s="8">
        <v>284.07</v>
      </c>
      <c r="Q73" s="3"/>
      <c r="R73" s="7">
        <f t="shared" si="12"/>
        <v>4.2173762224871945E-4</v>
      </c>
      <c r="S73" s="3"/>
      <c r="T73" s="8"/>
      <c r="U73" s="3"/>
      <c r="V73" s="7">
        <f t="shared" si="13"/>
        <v>0</v>
      </c>
      <c r="W73" s="3"/>
      <c r="X73" s="8">
        <f t="shared" si="14"/>
        <v>284.07</v>
      </c>
      <c r="Y73" s="3"/>
      <c r="Z73" s="7">
        <f t="shared" si="15"/>
        <v>0</v>
      </c>
    </row>
    <row r="74" spans="1:26" s="70" customFormat="1" ht="15" hidden="1" customHeight="1" outlineLevel="2" x14ac:dyDescent="0.25">
      <c r="A74" s="25"/>
      <c r="B74" s="12" t="str">
        <f>CONCATENATE("          ","6235"," - ","COVID-19 EXPENSES")</f>
        <v xml:space="preserve">          6235 - COVID-19 EXPENSES</v>
      </c>
      <c r="C74" s="12"/>
      <c r="D74" s="8"/>
      <c r="E74" s="3"/>
      <c r="F74" s="7">
        <f t="shared" si="8"/>
        <v>0</v>
      </c>
      <c r="G74" s="3"/>
      <c r="H74" s="8">
        <v>75</v>
      </c>
      <c r="I74" s="3"/>
      <c r="J74" s="7">
        <f t="shared" si="9"/>
        <v>1.2509382036527395E-3</v>
      </c>
      <c r="K74" s="3"/>
      <c r="L74" s="8">
        <f t="shared" si="10"/>
        <v>-75</v>
      </c>
      <c r="M74" s="3"/>
      <c r="N74" s="7">
        <f t="shared" si="11"/>
        <v>-1</v>
      </c>
      <c r="O74" s="12"/>
      <c r="P74" s="8">
        <v>229.22</v>
      </c>
      <c r="Q74" s="3"/>
      <c r="R74" s="7">
        <f t="shared" si="12"/>
        <v>3.4030590267135379E-4</v>
      </c>
      <c r="S74" s="3"/>
      <c r="T74" s="8">
        <v>1000</v>
      </c>
      <c r="U74" s="3"/>
      <c r="V74" s="7">
        <f t="shared" si="13"/>
        <v>2.0697720146125903E-3</v>
      </c>
      <c r="W74" s="3"/>
      <c r="X74" s="8">
        <f t="shared" si="14"/>
        <v>-770.78</v>
      </c>
      <c r="Y74" s="3"/>
      <c r="Z74" s="7">
        <f t="shared" si="15"/>
        <v>-0.77078000000000002</v>
      </c>
    </row>
    <row r="75" spans="1:26" s="70" customFormat="1" ht="15" hidden="1" customHeight="1" outlineLevel="2" x14ac:dyDescent="0.25">
      <c r="A75" s="25"/>
      <c r="B75" s="12" t="str">
        <f>CONCATENATE("          ","6237"," - ","JANITORIAL SUPPLIES")</f>
        <v xml:space="preserve">          6237 - JANITORIAL SUPPLIES</v>
      </c>
      <c r="C75" s="12"/>
      <c r="D75" s="8"/>
      <c r="E75" s="3"/>
      <c r="F75" s="7">
        <f t="shared" si="8"/>
        <v>0</v>
      </c>
      <c r="G75" s="3"/>
      <c r="H75" s="8">
        <v>150</v>
      </c>
      <c r="I75" s="3"/>
      <c r="J75" s="7">
        <f t="shared" si="9"/>
        <v>2.5018764073054789E-3</v>
      </c>
      <c r="K75" s="3"/>
      <c r="L75" s="8">
        <f t="shared" si="10"/>
        <v>-150</v>
      </c>
      <c r="M75" s="3"/>
      <c r="N75" s="7">
        <f t="shared" si="11"/>
        <v>-1</v>
      </c>
      <c r="O75" s="12"/>
      <c r="P75" s="8">
        <v>48.12</v>
      </c>
      <c r="Q75" s="3"/>
      <c r="R75" s="7">
        <f t="shared" si="12"/>
        <v>7.1440188624664262E-5</v>
      </c>
      <c r="S75" s="3"/>
      <c r="T75" s="8">
        <v>1450</v>
      </c>
      <c r="U75" s="3"/>
      <c r="V75" s="7">
        <f t="shared" si="13"/>
        <v>3.0011694211882563E-3</v>
      </c>
      <c r="W75" s="3"/>
      <c r="X75" s="8">
        <f t="shared" si="14"/>
        <v>-1401.88</v>
      </c>
      <c r="Y75" s="3"/>
      <c r="Z75" s="7">
        <f t="shared" si="15"/>
        <v>-0.96681379310344839</v>
      </c>
    </row>
    <row r="76" spans="1:26" s="70" customFormat="1" ht="15" hidden="1" customHeight="1" outlineLevel="2" x14ac:dyDescent="0.25">
      <c r="A76" s="25"/>
      <c r="B76" s="12" t="str">
        <f>CONCATENATE("          ","6239"," - ","KITCHEN SUPPLIES")</f>
        <v xml:space="preserve">          6239 - KITCHEN SUPPLIES</v>
      </c>
      <c r="C76" s="12"/>
      <c r="D76" s="8">
        <v>126.34</v>
      </c>
      <c r="E76" s="3"/>
      <c r="F76" s="7">
        <f t="shared" si="8"/>
        <v>1.7370401188347726E-3</v>
      </c>
      <c r="G76" s="3"/>
      <c r="H76" s="8"/>
      <c r="I76" s="3"/>
      <c r="J76" s="7">
        <f t="shared" si="9"/>
        <v>0</v>
      </c>
      <c r="K76" s="3"/>
      <c r="L76" s="8">
        <f t="shared" si="10"/>
        <v>126.34</v>
      </c>
      <c r="M76" s="3"/>
      <c r="N76" s="7">
        <f t="shared" si="11"/>
        <v>0</v>
      </c>
      <c r="O76" s="12"/>
      <c r="P76" s="8">
        <v>5659.17</v>
      </c>
      <c r="Q76" s="3"/>
      <c r="R76" s="7">
        <f t="shared" si="12"/>
        <v>8.4017492156908003E-3</v>
      </c>
      <c r="S76" s="3"/>
      <c r="T76" s="8">
        <v>200</v>
      </c>
      <c r="U76" s="3"/>
      <c r="V76" s="7">
        <f t="shared" si="13"/>
        <v>4.1395440292251806E-4</v>
      </c>
      <c r="W76" s="3"/>
      <c r="X76" s="8">
        <f t="shared" si="14"/>
        <v>5459.17</v>
      </c>
      <c r="Y76" s="3"/>
      <c r="Z76" s="7">
        <f t="shared" si="15"/>
        <v>27.295850000000002</v>
      </c>
    </row>
    <row r="77" spans="1:26" s="70" customFormat="1" ht="15" hidden="1" customHeight="1" outlineLevel="2" x14ac:dyDescent="0.25">
      <c r="A77" s="25"/>
      <c r="B77" s="12" t="str">
        <f>CONCATENATE("          ","6241"," - ","OFFICE EXPENSE")</f>
        <v xml:space="preserve">          6241 - OFFICE EXPENSE</v>
      </c>
      <c r="C77" s="12"/>
      <c r="D77" s="8"/>
      <c r="E77" s="3"/>
      <c r="F77" s="7">
        <f t="shared" si="8"/>
        <v>0</v>
      </c>
      <c r="G77" s="3"/>
      <c r="H77" s="8">
        <v>50</v>
      </c>
      <c r="I77" s="3"/>
      <c r="J77" s="7">
        <f t="shared" si="9"/>
        <v>8.3395880243515976E-4</v>
      </c>
      <c r="K77" s="3"/>
      <c r="L77" s="8">
        <f t="shared" si="10"/>
        <v>-50</v>
      </c>
      <c r="M77" s="3"/>
      <c r="N77" s="7">
        <f t="shared" si="11"/>
        <v>-1</v>
      </c>
      <c r="O77" s="12"/>
      <c r="P77" s="8">
        <v>2158.14</v>
      </c>
      <c r="Q77" s="3"/>
      <c r="R77" s="7">
        <f t="shared" si="12"/>
        <v>3.2040301055368441E-3</v>
      </c>
      <c r="S77" s="3"/>
      <c r="T77" s="8">
        <v>250</v>
      </c>
      <c r="U77" s="3"/>
      <c r="V77" s="7">
        <f t="shared" si="13"/>
        <v>5.1744300365314758E-4</v>
      </c>
      <c r="W77" s="3"/>
      <c r="X77" s="8">
        <f t="shared" si="14"/>
        <v>1908.1399999999999</v>
      </c>
      <c r="Y77" s="3"/>
      <c r="Z77" s="7">
        <f t="shared" si="15"/>
        <v>7.6325599999999998</v>
      </c>
    </row>
    <row r="78" spans="1:26" s="70" customFormat="1" ht="15" hidden="1" customHeight="1" outlineLevel="2" x14ac:dyDescent="0.25">
      <c r="A78" s="25"/>
      <c r="B78" s="12" t="str">
        <f>CONCATENATE("          ","6243"," - ","PAPER SUPPLIES")</f>
        <v xml:space="preserve">          6243 - PAPER SUPPLIES</v>
      </c>
      <c r="C78" s="12"/>
      <c r="D78" s="8"/>
      <c r="E78" s="3"/>
      <c r="F78" s="7">
        <f t="shared" si="8"/>
        <v>0</v>
      </c>
      <c r="G78" s="3"/>
      <c r="H78" s="8">
        <v>200</v>
      </c>
      <c r="I78" s="3"/>
      <c r="J78" s="7">
        <f t="shared" si="9"/>
        <v>3.335835209740639E-3</v>
      </c>
      <c r="K78" s="3"/>
      <c r="L78" s="8">
        <f t="shared" si="10"/>
        <v>-200</v>
      </c>
      <c r="M78" s="3"/>
      <c r="N78" s="7">
        <f t="shared" si="11"/>
        <v>-1</v>
      </c>
      <c r="O78" s="12"/>
      <c r="P78" s="8">
        <v>511.58</v>
      </c>
      <c r="Q78" s="3"/>
      <c r="R78" s="7">
        <f t="shared" si="12"/>
        <v>7.5950481497518178E-4</v>
      </c>
      <c r="S78" s="3"/>
      <c r="T78" s="8">
        <v>2700</v>
      </c>
      <c r="U78" s="3"/>
      <c r="V78" s="7">
        <f t="shared" si="13"/>
        <v>5.5883844394539941E-3</v>
      </c>
      <c r="W78" s="3"/>
      <c r="X78" s="8">
        <f t="shared" si="14"/>
        <v>-2188.42</v>
      </c>
      <c r="Y78" s="3"/>
      <c r="Z78" s="7">
        <f t="shared" si="15"/>
        <v>-0.81052592592592598</v>
      </c>
    </row>
    <row r="79" spans="1:26" s="70" customFormat="1" ht="15" hidden="1" customHeight="1" outlineLevel="2" x14ac:dyDescent="0.25">
      <c r="A79" s="25"/>
      <c r="B79" s="12" t="str">
        <f>CONCATENATE("          ","6245"," - ","PRINTING")</f>
        <v xml:space="preserve">          6245 - PRINTING</v>
      </c>
      <c r="C79" s="12"/>
      <c r="D79" s="8"/>
      <c r="E79" s="3"/>
      <c r="F79" s="7">
        <f t="shared" si="8"/>
        <v>0</v>
      </c>
      <c r="G79" s="3"/>
      <c r="H79" s="8">
        <v>50</v>
      </c>
      <c r="I79" s="3"/>
      <c r="J79" s="7">
        <f t="shared" si="9"/>
        <v>8.3395880243515976E-4</v>
      </c>
      <c r="K79" s="3"/>
      <c r="L79" s="8">
        <f t="shared" si="10"/>
        <v>-50</v>
      </c>
      <c r="M79" s="3"/>
      <c r="N79" s="7">
        <f t="shared" si="11"/>
        <v>-1</v>
      </c>
      <c r="O79" s="12"/>
      <c r="P79" s="8">
        <v>733</v>
      </c>
      <c r="Q79" s="3"/>
      <c r="R79" s="7">
        <f t="shared" si="12"/>
        <v>1.0882306371961536E-3</v>
      </c>
      <c r="S79" s="3"/>
      <c r="T79" s="8">
        <v>950</v>
      </c>
      <c r="U79" s="3"/>
      <c r="V79" s="7">
        <f t="shared" si="13"/>
        <v>1.9662834138819609E-3</v>
      </c>
      <c r="W79" s="3"/>
      <c r="X79" s="8">
        <f t="shared" si="14"/>
        <v>-217</v>
      </c>
      <c r="Y79" s="3"/>
      <c r="Z79" s="7">
        <f t="shared" si="15"/>
        <v>-0.22842105263157894</v>
      </c>
    </row>
    <row r="80" spans="1:26" s="70" customFormat="1" ht="15" hidden="1" customHeight="1" outlineLevel="2" x14ac:dyDescent="0.25">
      <c r="A80" s="25"/>
      <c r="B80" s="12" t="str">
        <f>CONCATENATE("          ","6247"," - ","STORE SUPPLIES")</f>
        <v xml:space="preserve">          6247 - STORE SUPPLIES</v>
      </c>
      <c r="C80" s="12"/>
      <c r="D80" s="8">
        <v>433</v>
      </c>
      <c r="E80" s="3"/>
      <c r="F80" s="7">
        <f t="shared" si="8"/>
        <v>5.953287727207982E-3</v>
      </c>
      <c r="G80" s="3"/>
      <c r="H80" s="8"/>
      <c r="I80" s="3"/>
      <c r="J80" s="7">
        <f t="shared" si="9"/>
        <v>0</v>
      </c>
      <c r="K80" s="3"/>
      <c r="L80" s="8">
        <f t="shared" si="10"/>
        <v>433</v>
      </c>
      <c r="M80" s="3"/>
      <c r="N80" s="7">
        <f t="shared" si="11"/>
        <v>0</v>
      </c>
      <c r="O80" s="12"/>
      <c r="P80" s="8">
        <v>1390.59</v>
      </c>
      <c r="Q80" s="3"/>
      <c r="R80" s="7">
        <f t="shared" si="12"/>
        <v>2.0645056504482936E-3</v>
      </c>
      <c r="S80" s="3"/>
      <c r="T80" s="8"/>
      <c r="U80" s="3"/>
      <c r="V80" s="7">
        <f t="shared" si="13"/>
        <v>0</v>
      </c>
      <c r="W80" s="3"/>
      <c r="X80" s="8">
        <f t="shared" si="14"/>
        <v>1390.59</v>
      </c>
      <c r="Y80" s="3"/>
      <c r="Z80" s="7">
        <f t="shared" si="15"/>
        <v>0</v>
      </c>
    </row>
    <row r="81" spans="1:26" s="70" customFormat="1" ht="15" hidden="1" customHeight="1" outlineLevel="2" x14ac:dyDescent="0.25">
      <c r="A81" s="25"/>
      <c r="B81" s="12" t="str">
        <f>CONCATENATE("          ","6248"," - ","UNIFORMS")</f>
        <v xml:space="preserve">          6248 - UNIFORMS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2988.45</v>
      </c>
      <c r="Q81" s="3"/>
      <c r="R81" s="7">
        <f t="shared" si="12"/>
        <v>4.4367296694800065E-3</v>
      </c>
      <c r="S81" s="3"/>
      <c r="T81" s="8">
        <v>1300</v>
      </c>
      <c r="U81" s="3"/>
      <c r="V81" s="7">
        <f t="shared" si="13"/>
        <v>2.6907036189963676E-3</v>
      </c>
      <c r="W81" s="3"/>
      <c r="X81" s="8">
        <f t="shared" si="14"/>
        <v>1688.4499999999998</v>
      </c>
      <c r="Y81" s="3"/>
      <c r="Z81" s="7">
        <f t="shared" si="15"/>
        <v>1.2988076923076921</v>
      </c>
    </row>
    <row r="82" spans="1:26" s="69" customFormat="1" ht="15" customHeight="1" outlineLevel="1" collapsed="1" x14ac:dyDescent="0.25">
      <c r="A82" s="26"/>
      <c r="B82" s="14" t="str">
        <f>CONCATENATE("     ","Telephone/Data Lines                              ")</f>
        <v xml:space="preserve">     Telephone/Data Lines                              </v>
      </c>
      <c r="C82" s="14"/>
      <c r="D82" s="2">
        <f>SUM(OSRRefD22_13x_0)</f>
        <v>75</v>
      </c>
      <c r="E82" s="2"/>
      <c r="F82" s="6">
        <f t="shared" si="8"/>
        <v>1.0311699296549624E-3</v>
      </c>
      <c r="G82" s="2"/>
      <c r="H82" s="2">
        <f>SUM(OSRRefH22_13x_0)</f>
        <v>150</v>
      </c>
      <c r="I82" s="2"/>
      <c r="J82" s="6">
        <f t="shared" si="9"/>
        <v>2.5018764073054789E-3</v>
      </c>
      <c r="K82" s="2"/>
      <c r="L82" s="2">
        <f t="shared" si="10"/>
        <v>-75</v>
      </c>
      <c r="M82" s="2"/>
      <c r="N82" s="6">
        <f t="shared" si="11"/>
        <v>-0.5</v>
      </c>
      <c r="O82" s="14"/>
      <c r="P82" s="2">
        <f>SUM(OSRRefP22_13x_0)</f>
        <v>1050</v>
      </c>
      <c r="Q82" s="2"/>
      <c r="R82" s="6">
        <f t="shared" si="12"/>
        <v>1.5588569837052678E-3</v>
      </c>
      <c r="S82" s="2"/>
      <c r="T82" s="2">
        <f>SUM(OSRRefT22_13x_0)</f>
        <v>1650</v>
      </c>
      <c r="U82" s="2"/>
      <c r="V82" s="6">
        <f t="shared" si="13"/>
        <v>3.4151238241107744E-3</v>
      </c>
      <c r="W82" s="2"/>
      <c r="X82" s="2">
        <f t="shared" si="14"/>
        <v>-600</v>
      </c>
      <c r="Y82" s="2"/>
      <c r="Z82" s="6">
        <f t="shared" si="15"/>
        <v>-0.36363636363636365</v>
      </c>
    </row>
    <row r="83" spans="1:26" s="70" customFormat="1" ht="15" hidden="1" customHeight="1" outlineLevel="2" x14ac:dyDescent="0.25">
      <c r="A83" s="25"/>
      <c r="B83" s="12" t="str">
        <f>CONCATENATE("          ","6309"," - ","TELEPHONE")</f>
        <v xml:space="preserve">          6309 - TELEPHONE</v>
      </c>
      <c r="C83" s="12"/>
      <c r="D83" s="8">
        <v>75</v>
      </c>
      <c r="E83" s="3"/>
      <c r="F83" s="7">
        <f t="shared" si="8"/>
        <v>1.0311699296549624E-3</v>
      </c>
      <c r="G83" s="3"/>
      <c r="H83" s="8">
        <v>150</v>
      </c>
      <c r="I83" s="3"/>
      <c r="J83" s="7">
        <f t="shared" si="9"/>
        <v>2.5018764073054789E-3</v>
      </c>
      <c r="K83" s="3"/>
      <c r="L83" s="8">
        <f t="shared" si="10"/>
        <v>-75</v>
      </c>
      <c r="M83" s="3"/>
      <c r="N83" s="7">
        <f t="shared" si="11"/>
        <v>-0.5</v>
      </c>
      <c r="O83" s="12"/>
      <c r="P83" s="8">
        <v>1050</v>
      </c>
      <c r="Q83" s="3"/>
      <c r="R83" s="7">
        <f t="shared" si="12"/>
        <v>1.5588569837052678E-3</v>
      </c>
      <c r="S83" s="3"/>
      <c r="T83" s="8">
        <v>1650</v>
      </c>
      <c r="U83" s="3"/>
      <c r="V83" s="7">
        <f t="shared" si="13"/>
        <v>3.4151238241107744E-3</v>
      </c>
      <c r="W83" s="3"/>
      <c r="X83" s="8">
        <f t="shared" si="14"/>
        <v>-600</v>
      </c>
      <c r="Y83" s="3"/>
      <c r="Z83" s="7">
        <f t="shared" si="15"/>
        <v>-0.36363636363636365</v>
      </c>
    </row>
    <row r="84" spans="1:26" s="69" customFormat="1" ht="15" customHeight="1" outlineLevel="1" collapsed="1" x14ac:dyDescent="0.25">
      <c r="A84" s="26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SUM(OSRRefD22_14x_0)</f>
        <v>0</v>
      </c>
      <c r="E84" s="2"/>
      <c r="F84" s="6">
        <f t="shared" si="8"/>
        <v>0</v>
      </c>
      <c r="G84" s="2"/>
      <c r="H84" s="2">
        <f>SUM(OSRRefH22_14x_0)</f>
        <v>0</v>
      </c>
      <c r="I84" s="2"/>
      <c r="J84" s="6">
        <f t="shared" si="9"/>
        <v>0</v>
      </c>
      <c r="K84" s="2"/>
      <c r="L84" s="2">
        <f t="shared" si="10"/>
        <v>0</v>
      </c>
      <c r="M84" s="2"/>
      <c r="N84" s="6">
        <f t="shared" si="11"/>
        <v>0</v>
      </c>
      <c r="O84" s="14"/>
      <c r="P84" s="2">
        <f>SUM(OSRRefP22_14x_0)</f>
        <v>200</v>
      </c>
      <c r="Q84" s="2"/>
      <c r="R84" s="6">
        <f t="shared" si="12"/>
        <v>2.9692513975338434E-4</v>
      </c>
      <c r="S84" s="2"/>
      <c r="T84" s="2">
        <f>SUM(OSRRefT22_14x_0)</f>
        <v>400</v>
      </c>
      <c r="U84" s="2"/>
      <c r="V84" s="6">
        <f t="shared" si="13"/>
        <v>8.2790880584503613E-4</v>
      </c>
      <c r="W84" s="2"/>
      <c r="X84" s="2">
        <f t="shared" si="14"/>
        <v>-200</v>
      </c>
      <c r="Y84" s="2"/>
      <c r="Z84" s="6">
        <f t="shared" si="15"/>
        <v>-0.5</v>
      </c>
    </row>
    <row r="85" spans="1:26" s="70" customFormat="1" ht="15" hidden="1" customHeight="1" outlineLevel="2" x14ac:dyDescent="0.25">
      <c r="A85" s="25"/>
      <c r="B85" s="12" t="str">
        <f>CONCATENATE("          ","6376"," - ","TRAINING")</f>
        <v xml:space="preserve">          6376 - TRAINING</v>
      </c>
      <c r="C85" s="12"/>
      <c r="D85" s="8"/>
      <c r="E85" s="3"/>
      <c r="F85" s="7">
        <f t="shared" si="8"/>
        <v>0</v>
      </c>
      <c r="G85" s="3"/>
      <c r="H85" s="8"/>
      <c r="I85" s="3"/>
      <c r="J85" s="7">
        <f t="shared" si="9"/>
        <v>0</v>
      </c>
      <c r="K85" s="3"/>
      <c r="L85" s="8">
        <f t="shared" si="10"/>
        <v>0</v>
      </c>
      <c r="M85" s="3"/>
      <c r="N85" s="7">
        <f t="shared" si="11"/>
        <v>0</v>
      </c>
      <c r="O85" s="12"/>
      <c r="P85" s="8">
        <v>200</v>
      </c>
      <c r="Q85" s="3"/>
      <c r="R85" s="7">
        <f t="shared" si="12"/>
        <v>2.9692513975338434E-4</v>
      </c>
      <c r="S85" s="3"/>
      <c r="T85" s="8">
        <v>400</v>
      </c>
      <c r="U85" s="3"/>
      <c r="V85" s="7">
        <f t="shared" si="13"/>
        <v>8.2790880584503613E-4</v>
      </c>
      <c r="W85" s="3"/>
      <c r="X85" s="8">
        <f t="shared" si="14"/>
        <v>-200</v>
      </c>
      <c r="Y85" s="3"/>
      <c r="Z85" s="7">
        <f t="shared" si="15"/>
        <v>-0.5</v>
      </c>
    </row>
    <row r="86" spans="1:26" s="69" customFormat="1" ht="15" customHeight="1" outlineLevel="1" collapsed="1" x14ac:dyDescent="0.25">
      <c r="A86" s="26"/>
      <c r="B86" s="14" t="str">
        <f>CONCATENATE("     ","Travel                                            ")</f>
        <v xml:space="preserve">     Travel                                            </v>
      </c>
      <c r="C86" s="14"/>
      <c r="D86" s="2">
        <f>SUM(OSRRefD22_15x_0)</f>
        <v>0</v>
      </c>
      <c r="E86" s="2"/>
      <c r="F86" s="6">
        <f t="shared" si="8"/>
        <v>0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SUM(OSRRefP22_15x_0)</f>
        <v>0</v>
      </c>
      <c r="Q86" s="2"/>
      <c r="R86" s="6">
        <f t="shared" si="12"/>
        <v>0</v>
      </c>
      <c r="S86" s="2"/>
      <c r="T86" s="2">
        <f>SUM(OSRRefT22_15x_0)</f>
        <v>600</v>
      </c>
      <c r="U86" s="2"/>
      <c r="V86" s="6">
        <f t="shared" si="13"/>
        <v>1.2418632087675542E-3</v>
      </c>
      <c r="W86" s="2"/>
      <c r="X86" s="2">
        <f t="shared" si="14"/>
        <v>-600</v>
      </c>
      <c r="Y86" s="2"/>
      <c r="Z86" s="6">
        <f t="shared" si="15"/>
        <v>-1</v>
      </c>
    </row>
    <row r="87" spans="1:26" s="70" customFormat="1" ht="15" hidden="1" customHeight="1" outlineLevel="2" x14ac:dyDescent="0.25">
      <c r="A87" s="25"/>
      <c r="B87" s="12" t="str">
        <f>CONCATENATE("          ","6292"," - ","TRAVEL/CONFERENCE")</f>
        <v xml:space="preserve">          6292 - TRAVEL/CONFERENCE</v>
      </c>
      <c r="C87" s="12"/>
      <c r="D87" s="8"/>
      <c r="E87" s="3"/>
      <c r="F87" s="7">
        <f t="shared" si="8"/>
        <v>0</v>
      </c>
      <c r="G87" s="3"/>
      <c r="H87" s="8"/>
      <c r="I87" s="3"/>
      <c r="J87" s="7">
        <f t="shared" si="9"/>
        <v>0</v>
      </c>
      <c r="K87" s="3"/>
      <c r="L87" s="8">
        <f t="shared" si="10"/>
        <v>0</v>
      </c>
      <c r="M87" s="3"/>
      <c r="N87" s="7">
        <f t="shared" si="11"/>
        <v>0</v>
      </c>
      <c r="O87" s="12"/>
      <c r="P87" s="8"/>
      <c r="Q87" s="3"/>
      <c r="R87" s="7">
        <f t="shared" si="12"/>
        <v>0</v>
      </c>
      <c r="S87" s="3"/>
      <c r="T87" s="8">
        <v>600</v>
      </c>
      <c r="U87" s="3"/>
      <c r="V87" s="7">
        <f t="shared" si="13"/>
        <v>1.2418632087675542E-3</v>
      </c>
      <c r="W87" s="3"/>
      <c r="X87" s="8">
        <f t="shared" si="14"/>
        <v>-600</v>
      </c>
      <c r="Y87" s="3"/>
      <c r="Z87" s="7">
        <f t="shared" si="15"/>
        <v>-1</v>
      </c>
    </row>
    <row r="88" spans="1:26" s="69" customFormat="1" ht="15" customHeight="1" outlineLevel="1" collapsed="1" x14ac:dyDescent="0.25">
      <c r="A88" s="26"/>
      <c r="B88" s="14" t="str">
        <f>CONCATENATE("     ","Utilities                                         ")</f>
        <v xml:space="preserve">     Utilities                                         </v>
      </c>
      <c r="C88" s="14"/>
      <c r="D88" s="2">
        <f>SUM(OSRRefD22_16x_0)</f>
        <v>485.98</v>
      </c>
      <c r="E88" s="2"/>
      <c r="F88" s="6">
        <f t="shared" si="8"/>
        <v>6.6817061655162482E-3</v>
      </c>
      <c r="G88" s="2"/>
      <c r="H88" s="2">
        <f>SUM(OSRRefH22_16x_0)</f>
        <v>200</v>
      </c>
      <c r="I88" s="2"/>
      <c r="J88" s="6">
        <f t="shared" si="9"/>
        <v>3.335835209740639E-3</v>
      </c>
      <c r="K88" s="2"/>
      <c r="L88" s="2">
        <f t="shared" si="10"/>
        <v>285.98</v>
      </c>
      <c r="M88" s="2"/>
      <c r="N88" s="6">
        <f t="shared" si="11"/>
        <v>1.4299000000000002</v>
      </c>
      <c r="O88" s="14"/>
      <c r="P88" s="2">
        <f>SUM(OSRRefP22_16x_0)</f>
        <v>2485.98</v>
      </c>
      <c r="Q88" s="2"/>
      <c r="R88" s="6">
        <f t="shared" si="12"/>
        <v>3.6907497946205921E-3</v>
      </c>
      <c r="S88" s="2"/>
      <c r="T88" s="2">
        <f>SUM(OSRRefT22_16x_0)</f>
        <v>2200</v>
      </c>
      <c r="U88" s="2"/>
      <c r="V88" s="6">
        <f t="shared" si="13"/>
        <v>4.5534984321476991E-3</v>
      </c>
      <c r="W88" s="2"/>
      <c r="X88" s="2">
        <f t="shared" si="14"/>
        <v>285.98</v>
      </c>
      <c r="Y88" s="2"/>
      <c r="Z88" s="6">
        <f t="shared" si="15"/>
        <v>0.1299909090909091</v>
      </c>
    </row>
    <row r="89" spans="1:26" s="70" customFormat="1" ht="15" hidden="1" customHeight="1" outlineLevel="2" x14ac:dyDescent="0.25">
      <c r="A89" s="25"/>
      <c r="B89" s="12" t="str">
        <f>CONCATENATE("          ","6274"," - ","UTILITIES")</f>
        <v xml:space="preserve">          6274 - UTILITIES</v>
      </c>
      <c r="C89" s="12"/>
      <c r="D89" s="8">
        <v>485.98</v>
      </c>
      <c r="E89" s="3"/>
      <c r="F89" s="7">
        <f t="shared" si="8"/>
        <v>6.6817061655162482E-3</v>
      </c>
      <c r="G89" s="3"/>
      <c r="H89" s="8">
        <v>200</v>
      </c>
      <c r="I89" s="3"/>
      <c r="J89" s="7">
        <f t="shared" si="9"/>
        <v>3.335835209740639E-3</v>
      </c>
      <c r="K89" s="3"/>
      <c r="L89" s="8">
        <f t="shared" si="10"/>
        <v>285.98</v>
      </c>
      <c r="M89" s="3"/>
      <c r="N89" s="7">
        <f t="shared" si="11"/>
        <v>1.4299000000000002</v>
      </c>
      <c r="O89" s="12"/>
      <c r="P89" s="8">
        <v>2485.98</v>
      </c>
      <c r="Q89" s="3"/>
      <c r="R89" s="7">
        <f t="shared" si="12"/>
        <v>3.6907497946205921E-3</v>
      </c>
      <c r="S89" s="3"/>
      <c r="T89" s="8">
        <v>2200</v>
      </c>
      <c r="U89" s="3"/>
      <c r="V89" s="7">
        <f t="shared" si="13"/>
        <v>4.5534984321476991E-3</v>
      </c>
      <c r="W89" s="3"/>
      <c r="X89" s="8">
        <f t="shared" si="14"/>
        <v>285.98</v>
      </c>
      <c r="Y89" s="3"/>
      <c r="Z89" s="7">
        <f t="shared" si="15"/>
        <v>0.1299909090909091</v>
      </c>
    </row>
    <row r="90" spans="1:26" s="65" customFormat="1" ht="15" customHeight="1" x14ac:dyDescent="0.25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collapsed="1" x14ac:dyDescent="0.25">
      <c r="A91" s="11"/>
      <c r="B91" s="27" t="s">
        <v>291</v>
      </c>
      <c r="C91" s="11"/>
      <c r="D91" s="5">
        <f>SUM(OSRRefD25x_0)</f>
        <v>0</v>
      </c>
      <c r="E91" s="5"/>
      <c r="F91" s="13">
        <f>IF(D$12=0,0,D91/D$12)</f>
        <v>0</v>
      </c>
      <c r="G91" s="5"/>
      <c r="H91" s="5">
        <f>SUM(OSRRefH25x_0)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SUM(OSRRefP25x_0)</f>
        <v>192</v>
      </c>
      <c r="Q91" s="5"/>
      <c r="R91" s="13">
        <f>IF(P$12=0,0,P91/P$12)</f>
        <v>2.8504813416324896E-4</v>
      </c>
      <c r="S91" s="5"/>
      <c r="T91" s="5">
        <f>SUM(OSRRefT25x_0)</f>
        <v>0</v>
      </c>
      <c r="U91" s="5"/>
      <c r="V91" s="13">
        <f>IF(T$12=0,0,T91/T$12)</f>
        <v>0</v>
      </c>
      <c r="W91" s="5"/>
      <c r="X91" s="5">
        <f>+P91-T91</f>
        <v>192</v>
      </c>
      <c r="Y91" s="5"/>
      <c r="Z91" s="13">
        <f>IF(T91=0,0,X91/T91)</f>
        <v>0</v>
      </c>
    </row>
    <row r="92" spans="1:26" s="70" customFormat="1" ht="15" hidden="1" customHeight="1" outlineLevel="1" x14ac:dyDescent="0.25">
      <c r="A92" s="42"/>
      <c r="B92" s="12" t="str">
        <f>CONCATENATE("          ","9150"," - ","MISC. INCOME")</f>
        <v xml:space="preserve">          9150 - MISC. INCOME</v>
      </c>
      <c r="C92" s="12"/>
      <c r="D92" s="3">
        <f>0</f>
        <v>0</v>
      </c>
      <c r="E92" s="3"/>
      <c r="F92" s="20">
        <f>IF(D$12=0,0,D92/D$12)</f>
        <v>0</v>
      </c>
      <c r="G92" s="3"/>
      <c r="H92" s="3"/>
      <c r="I92" s="3"/>
      <c r="J92" s="20">
        <f>IF(H$12=0,0,H92/H$12)</f>
        <v>0</v>
      </c>
      <c r="K92" s="3"/>
      <c r="L92" s="3">
        <f>+D92-H92</f>
        <v>0</v>
      </c>
      <c r="M92" s="3"/>
      <c r="N92" s="20">
        <f>IF(H92=0,0,L92/H92)</f>
        <v>0</v>
      </c>
      <c r="O92" s="12"/>
      <c r="P92" s="3">
        <f>--192</f>
        <v>192</v>
      </c>
      <c r="Q92" s="3"/>
      <c r="R92" s="20">
        <f>IF(P$12=0,0,P92/P$12)</f>
        <v>2.8504813416324896E-4</v>
      </c>
      <c r="S92" s="3"/>
      <c r="T92" s="3"/>
      <c r="U92" s="3"/>
      <c r="V92" s="20">
        <f>IF(T$12=0,0,T92/T$12)</f>
        <v>0</v>
      </c>
      <c r="W92" s="3"/>
      <c r="X92" s="3">
        <f>+P92-T92</f>
        <v>192</v>
      </c>
      <c r="Y92" s="3"/>
      <c r="Z92" s="20">
        <f>IF(T92=0,0,X92/T92)</f>
        <v>0</v>
      </c>
    </row>
    <row r="93" spans="1:26" ht="15" customHeight="1" x14ac:dyDescent="0.25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25">
      <c r="A94" s="11"/>
      <c r="B94" s="28" t="s">
        <v>292</v>
      </c>
      <c r="C94" s="28"/>
      <c r="D94" s="22">
        <f>+D23-D25+D91</f>
        <v>-1006.179999999993</v>
      </c>
      <c r="E94" s="15"/>
      <c r="F94" s="21">
        <f>IF(D$12=0,0,D94/D$12)</f>
        <v>-1.3833900797602971E-2</v>
      </c>
      <c r="G94" s="15"/>
      <c r="H94" s="22">
        <f>+H23-H25+H91</f>
        <v>2782.6136221538472</v>
      </c>
      <c r="I94" s="15"/>
      <c r="J94" s="21">
        <f>IF(H$12=0,0,H94/H$12)</f>
        <v>4.6411702479423687E-2</v>
      </c>
      <c r="K94" s="16"/>
      <c r="L94" s="22">
        <f>+D94-H94</f>
        <v>-3788.7936221538403</v>
      </c>
      <c r="M94" s="16"/>
      <c r="N94" s="21">
        <f>IF(H94=0,0,L94/H94)</f>
        <v>-1.361595297309431</v>
      </c>
      <c r="O94" s="27"/>
      <c r="P94" s="22">
        <f>+P23-P25+P91</f>
        <v>-32544.330000000016</v>
      </c>
      <c r="Q94" s="15"/>
      <c r="R94" s="21">
        <f>IF(P$12=0,0,P94/P$12)</f>
        <v>-4.8316148667151317E-2</v>
      </c>
      <c r="S94" s="15"/>
      <c r="T94" s="22">
        <f>+T23-T25+T91</f>
        <v>-82098.5637481538</v>
      </c>
      <c r="U94" s="15"/>
      <c r="V94" s="21">
        <f>IF(T$12=0,0,T94/T$12)</f>
        <v>-0.16992530968581648</v>
      </c>
      <c r="W94" s="16"/>
      <c r="X94" s="22">
        <f>+P94-T94</f>
        <v>49554.233748153783</v>
      </c>
      <c r="Y94" s="16"/>
      <c r="Z94" s="21">
        <f>IF(T94=0,0,X94/T94)</f>
        <v>-0.60359440513681506</v>
      </c>
    </row>
    <row r="95" spans="1:26" ht="15" customHeight="1" x14ac:dyDescent="0.25">
      <c r="A95" s="10"/>
      <c r="B95" s="11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25">
      <c r="A96" s="49"/>
      <c r="B96" s="11" t="s">
        <v>293</v>
      </c>
      <c r="C96" s="11"/>
      <c r="D96" s="5">
        <v>7661.19</v>
      </c>
      <c r="E96" s="5"/>
      <c r="F96" s="13">
        <f>IF(D$12=0,0,D96/D$12)</f>
        <v>0.10533318337831067</v>
      </c>
      <c r="G96" s="5"/>
      <c r="H96" s="5">
        <v>7833</v>
      </c>
      <c r="I96" s="5"/>
      <c r="J96" s="13">
        <f>IF(H$12=0,0,H96/H$12)</f>
        <v>0.13064798598949212</v>
      </c>
      <c r="K96" s="5"/>
      <c r="L96" s="5">
        <f>+D96-H96</f>
        <v>-171.8100000000004</v>
      </c>
      <c r="M96" s="5"/>
      <c r="N96" s="13">
        <f>IF(H96=0,0,L96/H96)</f>
        <v>-2.1934124856376917E-2</v>
      </c>
      <c r="O96" s="11"/>
      <c r="P96" s="5">
        <v>75726.399999999994</v>
      </c>
      <c r="Q96" s="5"/>
      <c r="R96" s="13">
        <f>IF(P$12=0,0,P96/P$12)</f>
        <v>0.11242535951510341</v>
      </c>
      <c r="S96" s="5"/>
      <c r="T96" s="5">
        <v>59892</v>
      </c>
      <c r="U96" s="5"/>
      <c r="V96" s="13">
        <f>IF(T$12=0,0,T96/T$12)</f>
        <v>0.12396278549917726</v>
      </c>
      <c r="W96" s="5"/>
      <c r="X96" s="5">
        <f>+P96-T96</f>
        <v>15834.399999999994</v>
      </c>
      <c r="Y96" s="5"/>
      <c r="Z96" s="13">
        <f>IF(T96=0,0,X96/T96)</f>
        <v>0.26438255526614562</v>
      </c>
    </row>
    <row r="97" spans="1:26" ht="15" customHeight="1" x14ac:dyDescent="0.25">
      <c r="A97" s="10"/>
      <c r="B97" s="11"/>
      <c r="C97" s="11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O97" s="11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25">
      <c r="A98" s="11"/>
      <c r="B98" s="28" t="s">
        <v>294</v>
      </c>
      <c r="C98" s="28"/>
      <c r="D98" s="34">
        <f>+D94-D96</f>
        <v>-8667.3699999999917</v>
      </c>
      <c r="E98" s="15"/>
      <c r="F98" s="32">
        <f>IF(D$12=0,0,D98/D$12)</f>
        <v>-0.11916708417591362</v>
      </c>
      <c r="G98" s="15"/>
      <c r="H98" s="34">
        <f>+H94-H96</f>
        <v>-5050.3863778461528</v>
      </c>
      <c r="I98" s="15"/>
      <c r="J98" s="32">
        <f>IF(H$12=0,0,H98/H$12)</f>
        <v>-8.4236283510068427E-2</v>
      </c>
      <c r="K98" s="16"/>
      <c r="L98" s="34">
        <f>D98-H98</f>
        <v>-3616.983622153839</v>
      </c>
      <c r="M98" s="16"/>
      <c r="N98" s="32">
        <f>IF(H98=0,0,L98/H98)</f>
        <v>0.71617958539171811</v>
      </c>
      <c r="O98" s="27"/>
      <c r="P98" s="34">
        <f>+P94-P96</f>
        <v>-108270.73000000001</v>
      </c>
      <c r="Q98" s="15"/>
      <c r="R98" s="32">
        <f>IF(P$12=0,0,P98/P$12)</f>
        <v>-0.16074150818225472</v>
      </c>
      <c r="S98" s="15"/>
      <c r="T98" s="34">
        <f>+T94-T96</f>
        <v>-141990.5637481538</v>
      </c>
      <c r="U98" s="15"/>
      <c r="V98" s="32">
        <f>IF(T$12=0,0,T98/T$12)</f>
        <v>-0.29388809518499376</v>
      </c>
      <c r="W98" s="16"/>
      <c r="X98" s="34">
        <f>P98-T98</f>
        <v>33719.833748153789</v>
      </c>
      <c r="Y98" s="16"/>
      <c r="Z98" s="32">
        <f>IF(T98=0,0,X98/T98)</f>
        <v>-0.23747939903923526</v>
      </c>
    </row>
    <row r="99" spans="1:26" ht="15" customHeight="1" x14ac:dyDescent="0.25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ht="15" customHeight="1" x14ac:dyDescent="0.25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25">
      <c r="A101" s="11"/>
      <c r="B101" s="28" t="s">
        <v>297</v>
      </c>
      <c r="C101" s="28"/>
      <c r="D101" s="30">
        <f>SUM(D98:D100)</f>
        <v>-8667.3699999999917</v>
      </c>
      <c r="E101" s="15"/>
      <c r="F101" s="33">
        <f>IF(D$12=0,0,D101/D$12)</f>
        <v>-0.11916708417591362</v>
      </c>
      <c r="G101" s="15"/>
      <c r="H101" s="30">
        <f>SUM(H98:H100)</f>
        <v>-5050.3863778461528</v>
      </c>
      <c r="I101" s="15"/>
      <c r="J101" s="33">
        <f>IF(H$12=0,0,H101/H$12)</f>
        <v>-8.4236283510068427E-2</v>
      </c>
      <c r="K101" s="16"/>
      <c r="L101" s="30">
        <f>+D101-H101</f>
        <v>-3616.983622153839</v>
      </c>
      <c r="M101" s="16"/>
      <c r="N101" s="33">
        <f>IF(H101=0,0,L101/H101)</f>
        <v>0.71617958539171811</v>
      </c>
      <c r="O101" s="27"/>
      <c r="P101" s="30">
        <f>SUM(P98:P100)</f>
        <v>-108270.73000000001</v>
      </c>
      <c r="Q101" s="15"/>
      <c r="R101" s="33">
        <f>IF(P$12=0,0,P101/P$12)</f>
        <v>-0.16074150818225472</v>
      </c>
      <c r="S101" s="15"/>
      <c r="T101" s="30">
        <f>SUM(T98:T100)</f>
        <v>-141990.5637481538</v>
      </c>
      <c r="U101" s="15"/>
      <c r="V101" s="33">
        <f>IF(T$12=0,0,T101/T$12)</f>
        <v>-0.29388809518499376</v>
      </c>
      <c r="W101" s="16"/>
      <c r="X101" s="30">
        <f>+P101-T101</f>
        <v>33719.833748153789</v>
      </c>
      <c r="Y101" s="16"/>
      <c r="Z101" s="33">
        <f>IF(T101=0,0,X101/T101)</f>
        <v>-0.23747939903923526</v>
      </c>
    </row>
    <row r="102" spans="1:26" ht="15" customHeight="1" x14ac:dyDescent="0.25">
      <c r="A102" s="10"/>
      <c r="C102" s="10"/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A103" s="10"/>
      <c r="B103" s="54">
        <v>44727.874527581022</v>
      </c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25">
      <c r="A104" s="10"/>
      <c r="B104" s="50" t="s">
        <v>298</v>
      </c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  <row r="105" spans="1:26" ht="15" customHeight="1" x14ac:dyDescent="0.25">
      <c r="A105" s="10"/>
      <c r="B105" s="58"/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  <row r="106" spans="1:26" ht="15" customHeight="1" x14ac:dyDescent="0.25">
      <c r="D106" s="18"/>
      <c r="E106" s="18"/>
      <c r="G106" s="18"/>
      <c r="H106" s="18"/>
      <c r="I106" s="18"/>
      <c r="J106" s="40"/>
      <c r="K106" s="18"/>
      <c r="L106" s="18"/>
      <c r="M106" s="18"/>
      <c r="P106" s="18"/>
      <c r="Q106" s="18"/>
      <c r="R106" s="40"/>
      <c r="S106" s="18"/>
      <c r="T106" s="18"/>
      <c r="U106" s="18"/>
      <c r="V106" s="40"/>
      <c r="W106" s="18"/>
      <c r="X106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EEFDE-A1A8-C8C1-8668-1F02D15D68FF}">
  <sheetPr>
    <tabColor rgb="FF92D050"/>
    <outlinePr summaryBelow="0" summaryRight="0"/>
  </sheetPr>
  <dimension ref="A2:Z3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","406"," - ","OPA! Greek")</f>
        <v>Department 406 - OPA! Greek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0</v>
      </c>
      <c r="E18" s="23"/>
      <c r="F18" s="31">
        <f>IF(D$12=0,0,D18/D$12)</f>
        <v>0</v>
      </c>
      <c r="G18" s="23"/>
      <c r="H18" s="23" cm="1">
        <f t="array" ref="H18">SUM(OSRRefH22x_0)</f>
        <v>0</v>
      </c>
      <c r="I18" s="23"/>
      <c r="J18" s="31">
        <f>IF(H$12=0,0,H18/H$12)</f>
        <v>0</v>
      </c>
      <c r="K18" s="5"/>
      <c r="L18" s="23">
        <f>+D18-H18</f>
        <v>0</v>
      </c>
      <c r="M18" s="5"/>
      <c r="N18" s="31">
        <f>IF(H18=0,0,L18/H18)</f>
        <v>0</v>
      </c>
      <c r="O18" s="11"/>
      <c r="P18" s="23" cm="1">
        <f t="array" ref="P18">SUM(OSRRefP22x_0)</f>
        <v>69.290000000000006</v>
      </c>
      <c r="Q18" s="23"/>
      <c r="R18" s="31">
        <f>IF(P$12=0,0,P18/P$12)</f>
        <v>0</v>
      </c>
      <c r="S18" s="23"/>
      <c r="T18" s="23" cm="1">
        <f t="array" ref="T18">SUM(OSRRefT22x_0)</f>
        <v>0</v>
      </c>
      <c r="U18" s="23"/>
      <c r="V18" s="31">
        <f>IF(T$12=0,0,T18/T$12)</f>
        <v>0</v>
      </c>
      <c r="W18" s="5"/>
      <c r="X18" s="23">
        <f>+P18-T18</f>
        <v>69.290000000000006</v>
      </c>
      <c r="Y18" s="5"/>
      <c r="Z18" s="31">
        <f>IF(T18=0,0,X18/T18)</f>
        <v>0</v>
      </c>
    </row>
    <row r="19" spans="1:26" s="69" customFormat="1" ht="15" customHeight="1" outlineLevel="1" collapsed="1" x14ac:dyDescent="0.25">
      <c r="A19" s="26"/>
      <c r="B19" s="14" t="str">
        <f>CONCATENATE("     ","Repair and Maintenance                            ")</f>
        <v xml:space="preserve">     Repair and Maintenance                            </v>
      </c>
      <c r="C19" s="14"/>
      <c r="D19" s="2">
        <f>SUM(OSRRefD22_0x_0)</f>
        <v>0</v>
      </c>
      <c r="E19" s="2"/>
      <c r="F19" s="6">
        <f>IF(D$12=0,0,D19/D$12)</f>
        <v>0</v>
      </c>
      <c r="G19" s="2"/>
      <c r="H19" s="2">
        <f>SUM(OSRRefH22_0x_0)</f>
        <v>0</v>
      </c>
      <c r="I19" s="2"/>
      <c r="J19" s="6">
        <f>IF(H$12=0,0,H19/H$12)</f>
        <v>0</v>
      </c>
      <c r="K19" s="2"/>
      <c r="L19" s="2">
        <f>+D19-H19</f>
        <v>0</v>
      </c>
      <c r="M19" s="2"/>
      <c r="N19" s="6">
        <f>IF(H19=0,0,L19/H19)</f>
        <v>0</v>
      </c>
      <c r="O19" s="14"/>
      <c r="P19" s="2">
        <f>SUM(OSRRefP22_0x_0)</f>
        <v>69.290000000000006</v>
      </c>
      <c r="Q19" s="2"/>
      <c r="R19" s="6">
        <f>IF(P$12=0,0,P19/P$12)</f>
        <v>0</v>
      </c>
      <c r="S19" s="2"/>
      <c r="T19" s="2">
        <f>SUM(OSRRefT22_0x_0)</f>
        <v>0</v>
      </c>
      <c r="U19" s="2"/>
      <c r="V19" s="6">
        <f>IF(T$12=0,0,T19/T$12)</f>
        <v>0</v>
      </c>
      <c r="W19" s="2"/>
      <c r="X19" s="2">
        <f>+P19-T19</f>
        <v>69.290000000000006</v>
      </c>
      <c r="Y19" s="2"/>
      <c r="Z19" s="6">
        <f>IF(T19=0,0,X19/T19)</f>
        <v>0</v>
      </c>
    </row>
    <row r="20" spans="1:26" s="70" customFormat="1" ht="15" hidden="1" customHeight="1" outlineLevel="2" x14ac:dyDescent="0.25">
      <c r="A20" s="25"/>
      <c r="B20" s="12" t="str">
        <f>CONCATENATE("          ","6373"," - ","MAINTENANCE CONTRACTS")</f>
        <v xml:space="preserve">          6373 - MAINTENANCE CONTRACTS</v>
      </c>
      <c r="C20" s="12"/>
      <c r="D20" s="8"/>
      <c r="E20" s="3"/>
      <c r="F20" s="7">
        <f>IF(D$12=0,0,D20/D$12)</f>
        <v>0</v>
      </c>
      <c r="G20" s="3"/>
      <c r="H20" s="8"/>
      <c r="I20" s="3"/>
      <c r="J20" s="7">
        <f>IF(H$12=0,0,H20/H$12)</f>
        <v>0</v>
      </c>
      <c r="K20" s="3"/>
      <c r="L20" s="8">
        <f>+D20-H20</f>
        <v>0</v>
      </c>
      <c r="M20" s="3"/>
      <c r="N20" s="7">
        <f>IF(H20=0,0,L20/H20)</f>
        <v>0</v>
      </c>
      <c r="O20" s="12"/>
      <c r="P20" s="8">
        <v>69.290000000000006</v>
      </c>
      <c r="Q20" s="3"/>
      <c r="R20" s="7">
        <f>IF(P$12=0,0,P20/P$12)</f>
        <v>0</v>
      </c>
      <c r="S20" s="3"/>
      <c r="T20" s="8"/>
      <c r="U20" s="3"/>
      <c r="V20" s="7">
        <f>IF(T$12=0,0,T20/T$12)</f>
        <v>0</v>
      </c>
      <c r="W20" s="3"/>
      <c r="X20" s="8">
        <f>+P20-T20</f>
        <v>69.290000000000006</v>
      </c>
      <c r="Y20" s="3"/>
      <c r="Z20" s="7">
        <f>IF(T20=0,0,X20/T20)</f>
        <v>0</v>
      </c>
    </row>
    <row r="21" spans="1:26" s="69" customFormat="1" ht="15" customHeight="1" outlineLevel="1" collapsed="1" x14ac:dyDescent="0.25">
      <c r="A21" s="26"/>
      <c r="B21" s="14" t="str">
        <f>CONCATENATE("     ","Services                                          ")</f>
        <v xml:space="preserve">     Services                                          </v>
      </c>
      <c r="C21" s="14"/>
      <c r="D21" s="2">
        <f>SUM(OSRRefD22_1x_0)</f>
        <v>0</v>
      </c>
      <c r="E21" s="2"/>
      <c r="F21" s="6">
        <f>IF(D$12=0,0,D21/D$12)</f>
        <v>0</v>
      </c>
      <c r="G21" s="2"/>
      <c r="H21" s="2">
        <f>SUM(OSRRefH22_1x_0)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SUM(OSRRefP22_1x_0)</f>
        <v>0</v>
      </c>
      <c r="Q21" s="2"/>
      <c r="R21" s="6">
        <f>IF(P$12=0,0,P21/P$12)</f>
        <v>0</v>
      </c>
      <c r="S21" s="2"/>
      <c r="T21" s="2">
        <f>SUM(OSRRefT22_1x_0)</f>
        <v>0</v>
      </c>
      <c r="U21" s="2"/>
      <c r="V21" s="6">
        <f>IF(T$12=0,0,T21/T$12)</f>
        <v>0</v>
      </c>
      <c r="W21" s="2"/>
      <c r="X21" s="2">
        <f>+P21-T21</f>
        <v>0</v>
      </c>
      <c r="Y21" s="2"/>
      <c r="Z21" s="6">
        <f>IF(T21=0,0,X21/T21)</f>
        <v>0</v>
      </c>
    </row>
    <row r="22" spans="1:26" s="70" customFormat="1" ht="15" hidden="1" customHeight="1" outlineLevel="2" x14ac:dyDescent="0.25">
      <c r="A22" s="25"/>
      <c r="B22" s="12" t="str">
        <f>CONCATENATE("          ","6284"," - ","TRASH REMOVAL EXPENSE")</f>
        <v xml:space="preserve">          6284 - TRASH REMOVAL EXPENSE</v>
      </c>
      <c r="C22" s="12"/>
      <c r="D22" s="8"/>
      <c r="E22" s="3"/>
      <c r="F22" s="7">
        <f>IF(D$12=0,0,D22/D$12)</f>
        <v>0</v>
      </c>
      <c r="G22" s="3"/>
      <c r="H22" s="8"/>
      <c r="I22" s="3"/>
      <c r="J22" s="7">
        <f>IF(H$12=0,0,H22/H$12)</f>
        <v>0</v>
      </c>
      <c r="K22" s="3"/>
      <c r="L22" s="8">
        <f>+D22-H22</f>
        <v>0</v>
      </c>
      <c r="M22" s="3"/>
      <c r="N22" s="7">
        <f>IF(H22=0,0,L22/H22)</f>
        <v>0</v>
      </c>
      <c r="O22" s="12"/>
      <c r="P22" s="8"/>
      <c r="Q22" s="3"/>
      <c r="R22" s="7">
        <f>IF(P$12=0,0,P22/P$12)</f>
        <v>0</v>
      </c>
      <c r="S22" s="3"/>
      <c r="T22" s="8">
        <v>0</v>
      </c>
      <c r="U22" s="3"/>
      <c r="V22" s="7">
        <f>IF(T$12=0,0,T22/T$12)</f>
        <v>0</v>
      </c>
      <c r="W22" s="3"/>
      <c r="X22" s="8">
        <f>+P22-T22</f>
        <v>0</v>
      </c>
      <c r="Y22" s="3"/>
      <c r="Z22" s="7">
        <f>IF(T22=0,0,X22/T22)</f>
        <v>0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25">
      <c r="A24" s="11"/>
      <c r="B24" s="27" t="s">
        <v>291</v>
      </c>
      <c r="C24" s="11"/>
      <c r="D24" s="5">
        <f>SUM(0)</f>
        <v>0</v>
      </c>
      <c r="E24" s="5"/>
      <c r="F24" s="13">
        <f>IF(D$12=0,0,D24/D$12)</f>
        <v>0</v>
      </c>
      <c r="G24" s="5"/>
      <c r="H24" s="5">
        <f>SUM(0)</f>
        <v>0</v>
      </c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>
        <f>SUM(0)</f>
        <v>0</v>
      </c>
      <c r="Q24" s="5"/>
      <c r="R24" s="13">
        <f>IF(P$12=0,0,P24/P$12)</f>
        <v>0</v>
      </c>
      <c r="S24" s="5"/>
      <c r="T24" s="5">
        <f>SUM(0)</f>
        <v>0</v>
      </c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25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25">
      <c r="A26" s="11"/>
      <c r="B26" s="28" t="s">
        <v>292</v>
      </c>
      <c r="C26" s="28"/>
      <c r="D26" s="22">
        <f>+D16-D18+D24</f>
        <v>0</v>
      </c>
      <c r="E26" s="15"/>
      <c r="F26" s="21">
        <f>IF(D$12=0,0,D26/D$12)</f>
        <v>0</v>
      </c>
      <c r="G26" s="15"/>
      <c r="H26" s="22">
        <f>+H16-H18+H24</f>
        <v>0</v>
      </c>
      <c r="I26" s="15"/>
      <c r="J26" s="21">
        <f>IF(H$12=0,0,H26/H$12)</f>
        <v>0</v>
      </c>
      <c r="K26" s="16"/>
      <c r="L26" s="22">
        <f>+D26-H26</f>
        <v>0</v>
      </c>
      <c r="M26" s="16"/>
      <c r="N26" s="21">
        <f>IF(H26=0,0,L26/H26)</f>
        <v>0</v>
      </c>
      <c r="O26" s="27"/>
      <c r="P26" s="22">
        <f>+P16-P18+P24</f>
        <v>-69.290000000000006</v>
      </c>
      <c r="Q26" s="15"/>
      <c r="R26" s="21">
        <f>IF(P$12=0,0,P26/P$12)</f>
        <v>0</v>
      </c>
      <c r="S26" s="15"/>
      <c r="T26" s="22">
        <f>+T16-T18+T24</f>
        <v>0</v>
      </c>
      <c r="U26" s="15"/>
      <c r="V26" s="21">
        <f>IF(T$12=0,0,T26/T$12)</f>
        <v>0</v>
      </c>
      <c r="W26" s="16"/>
      <c r="X26" s="22">
        <f>+P26-T26</f>
        <v>-69.290000000000006</v>
      </c>
      <c r="Y26" s="16"/>
      <c r="Z26" s="21">
        <f>IF(T26=0,0,X26/T26)</f>
        <v>0</v>
      </c>
    </row>
    <row r="27" spans="1:26" ht="15" customHeight="1" x14ac:dyDescent="0.25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25">
      <c r="A28" s="49"/>
      <c r="B28" s="11" t="s">
        <v>293</v>
      </c>
      <c r="C28" s="11"/>
      <c r="D28" s="5"/>
      <c r="E28" s="5"/>
      <c r="F28" s="13">
        <f>IF(D$12=0,0,D28/D$12)</f>
        <v>0</v>
      </c>
      <c r="G28" s="5"/>
      <c r="H28" s="5"/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/>
      <c r="Q28" s="5"/>
      <c r="R28" s="13">
        <f>IF(P$12=0,0,P28/P$12)</f>
        <v>0</v>
      </c>
      <c r="S28" s="5"/>
      <c r="T28" s="5"/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25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25">
      <c r="A30" s="11"/>
      <c r="B30" s="28" t="s">
        <v>294</v>
      </c>
      <c r="C30" s="28"/>
      <c r="D30" s="34">
        <f>+D26-D28</f>
        <v>0</v>
      </c>
      <c r="E30" s="15"/>
      <c r="F30" s="32">
        <f>IF(D$12=0,0,D30/D$12)</f>
        <v>0</v>
      </c>
      <c r="G30" s="15"/>
      <c r="H30" s="34">
        <f>+H26-H28</f>
        <v>0</v>
      </c>
      <c r="I30" s="15"/>
      <c r="J30" s="32">
        <f>IF(H$12=0,0,H30/H$12)</f>
        <v>0</v>
      </c>
      <c r="K30" s="16"/>
      <c r="L30" s="34">
        <f>D30-H30</f>
        <v>0</v>
      </c>
      <c r="M30" s="16"/>
      <c r="N30" s="32">
        <f>IF(H30=0,0,L30/H30)</f>
        <v>0</v>
      </c>
      <c r="O30" s="27"/>
      <c r="P30" s="34">
        <f>+P26-P28</f>
        <v>-69.290000000000006</v>
      </c>
      <c r="Q30" s="15"/>
      <c r="R30" s="32">
        <f>IF(P$12=0,0,P30/P$12)</f>
        <v>0</v>
      </c>
      <c r="S30" s="15"/>
      <c r="T30" s="34">
        <f>+T26-T28</f>
        <v>0</v>
      </c>
      <c r="U30" s="15"/>
      <c r="V30" s="32">
        <f>IF(T$12=0,0,T30/T$12)</f>
        <v>0</v>
      </c>
      <c r="W30" s="16"/>
      <c r="X30" s="34">
        <f>P30-T30</f>
        <v>-69.290000000000006</v>
      </c>
      <c r="Y30" s="16"/>
      <c r="Z30" s="32">
        <f>IF(T30=0,0,X30/T30)</f>
        <v>0</v>
      </c>
    </row>
    <row r="31" spans="1:26" ht="15" customHeight="1" x14ac:dyDescent="0.25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11"/>
      <c r="B33" s="28" t="s">
        <v>297</v>
      </c>
      <c r="C33" s="28"/>
      <c r="D33" s="30">
        <f>SUM(D30:D32)</f>
        <v>0</v>
      </c>
      <c r="E33" s="15"/>
      <c r="F33" s="33">
        <f>IF(D$12=0,0,D33/D$12)</f>
        <v>0</v>
      </c>
      <c r="G33" s="15"/>
      <c r="H33" s="30">
        <f>SUM(H30:H32)</f>
        <v>0</v>
      </c>
      <c r="I33" s="15"/>
      <c r="J33" s="33">
        <f>IF(H$12=0,0,H33/H$12)</f>
        <v>0</v>
      </c>
      <c r="K33" s="16"/>
      <c r="L33" s="30">
        <f>+D33-H33</f>
        <v>0</v>
      </c>
      <c r="M33" s="16"/>
      <c r="N33" s="33">
        <f>IF(H33=0,0,L33/H33)</f>
        <v>0</v>
      </c>
      <c r="O33" s="27"/>
      <c r="P33" s="30">
        <f>SUM(P30:P32)</f>
        <v>-69.290000000000006</v>
      </c>
      <c r="Q33" s="15"/>
      <c r="R33" s="33">
        <f>IF(P$12=0,0,P33/P$12)</f>
        <v>0</v>
      </c>
      <c r="S33" s="15"/>
      <c r="T33" s="30">
        <f>SUM(T30:T32)</f>
        <v>0</v>
      </c>
      <c r="U33" s="15"/>
      <c r="V33" s="33">
        <f>IF(T$12=0,0,T33/T$12)</f>
        <v>0</v>
      </c>
      <c r="W33" s="16"/>
      <c r="X33" s="30">
        <f>+P33-T33</f>
        <v>-69.290000000000006</v>
      </c>
      <c r="Y33" s="16"/>
      <c r="Z33" s="33">
        <f>IF(T33=0,0,X33/T33)</f>
        <v>0</v>
      </c>
    </row>
    <row r="34" spans="1:26" ht="15" customHeight="1" x14ac:dyDescent="0.25">
      <c r="A34" s="10"/>
      <c r="C34" s="10"/>
      <c r="D34" s="18"/>
      <c r="E34" s="18"/>
      <c r="G34" s="18"/>
      <c r="H34" s="18"/>
      <c r="I34" s="18"/>
      <c r="J34" s="40"/>
      <c r="K34" s="18"/>
      <c r="L34" s="18"/>
      <c r="M34" s="18"/>
      <c r="P34" s="18"/>
      <c r="Q34" s="18"/>
      <c r="R34" s="40"/>
      <c r="S34" s="18"/>
      <c r="T34" s="18"/>
      <c r="U34" s="18"/>
      <c r="V34" s="40"/>
      <c r="W34" s="18"/>
      <c r="X34" s="18"/>
    </row>
    <row r="35" spans="1:26" ht="15" customHeight="1" x14ac:dyDescent="0.25">
      <c r="A35" s="10"/>
      <c r="B35" s="54">
        <v>44727.874527581022</v>
      </c>
      <c r="D35" s="18"/>
      <c r="E35" s="18"/>
      <c r="G35" s="18"/>
      <c r="H35" s="18"/>
      <c r="I35" s="18"/>
      <c r="J35" s="40"/>
      <c r="K35" s="18"/>
      <c r="L35" s="18"/>
      <c r="M35" s="18"/>
      <c r="P35" s="18"/>
      <c r="Q35" s="18"/>
      <c r="R35" s="40"/>
      <c r="S35" s="18"/>
      <c r="T35" s="18"/>
      <c r="U35" s="18"/>
      <c r="V35" s="40"/>
      <c r="W35" s="18"/>
      <c r="X35" s="18"/>
    </row>
    <row r="36" spans="1:26" ht="15" customHeight="1" x14ac:dyDescent="0.25">
      <c r="A36" s="10"/>
      <c r="B36" s="50" t="s">
        <v>298</v>
      </c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  <row r="37" spans="1:26" ht="15" customHeight="1" x14ac:dyDescent="0.25">
      <c r="A37" s="10"/>
      <c r="B37" s="58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2E7A1-D665-9C02-64FE-BB1D374B23D3}">
  <sheetPr>
    <tabColor rgb="FF92D050"/>
    <outlinePr summaryBelow="0" summaryRight="0"/>
  </sheetPr>
  <dimension ref="A2:Z9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","411"," - ","University Dining")</f>
        <v>Department 411 - University Dining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63877.020000000004</v>
      </c>
      <c r="E18" s="23"/>
      <c r="F18" s="31">
        <f t="shared" ref="F18:F49" si="0">IF(D$12=0,0,D18/D$12)</f>
        <v>0</v>
      </c>
      <c r="G18" s="23"/>
      <c r="H18" s="23" cm="1">
        <f t="array" ref="H18">SUM(OSRRefH22x_0)</f>
        <v>41372.132430769241</v>
      </c>
      <c r="I18" s="23"/>
      <c r="J18" s="31">
        <f t="shared" ref="J18:J49" si="1">IF(H$12=0,0,H18/H$12)</f>
        <v>0</v>
      </c>
      <c r="K18" s="5"/>
      <c r="L18" s="23">
        <f t="shared" ref="L18:L49" si="2">+D18-H18</f>
        <v>22504.887569230763</v>
      </c>
      <c r="M18" s="5"/>
      <c r="N18" s="31">
        <f t="shared" ref="N18:N49" si="3">IF(H18=0,0,L18/H18)</f>
        <v>0.54396247539064368</v>
      </c>
      <c r="O18" s="11"/>
      <c r="P18" s="23" cm="1">
        <f t="array" ref="P18">SUM(OSRRefP22x_0)</f>
        <v>567951.11999999988</v>
      </c>
      <c r="Q18" s="23"/>
      <c r="R18" s="31">
        <f t="shared" ref="R18:R49" si="4">IF(P$12=0,0,P18/P$12)</f>
        <v>0</v>
      </c>
      <c r="S18" s="23"/>
      <c r="T18" s="23" cm="1">
        <f t="array" ref="T18">SUM(OSRRefT22x_0)</f>
        <v>495385.58916923049</v>
      </c>
      <c r="U18" s="23"/>
      <c r="V18" s="31">
        <f t="shared" ref="V18:V49" si="5">IF(T$12=0,0,T18/T$12)</f>
        <v>0</v>
      </c>
      <c r="W18" s="5"/>
      <c r="X18" s="23">
        <f t="shared" ref="X18:X49" si="6">+P18-T18</f>
        <v>72565.530830769392</v>
      </c>
      <c r="Y18" s="5"/>
      <c r="Z18" s="31">
        <f t="shared" ref="Z18:Z49" si="7">IF(T18=0,0,X18/T18)</f>
        <v>0.14648292646635713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9410.3599999999988</v>
      </c>
      <c r="E19" s="2"/>
      <c r="F19" s="6">
        <f t="shared" si="0"/>
        <v>0</v>
      </c>
      <c r="G19" s="2"/>
      <c r="H19" s="2">
        <f>SUM(OSRRefH22_0x_0)</f>
        <v>8483.2093538461559</v>
      </c>
      <c r="I19" s="2"/>
      <c r="J19" s="6">
        <f t="shared" si="1"/>
        <v>0</v>
      </c>
      <c r="K19" s="2"/>
      <c r="L19" s="2">
        <f t="shared" si="2"/>
        <v>927.1506461538429</v>
      </c>
      <c r="M19" s="2"/>
      <c r="N19" s="6">
        <f t="shared" si="3"/>
        <v>0.10929243962763775</v>
      </c>
      <c r="O19" s="14"/>
      <c r="P19" s="2">
        <f>SUM(OSRRefP22_0x_0)</f>
        <v>117365.81000000001</v>
      </c>
      <c r="Q19" s="2"/>
      <c r="R19" s="6">
        <f t="shared" si="4"/>
        <v>0</v>
      </c>
      <c r="S19" s="2"/>
      <c r="T19" s="2">
        <f>SUM(OSRRefT22_0x_0)</f>
        <v>98684.512246153885</v>
      </c>
      <c r="U19" s="2"/>
      <c r="V19" s="6">
        <f t="shared" si="5"/>
        <v>0</v>
      </c>
      <c r="W19" s="2"/>
      <c r="X19" s="2">
        <f t="shared" si="6"/>
        <v>18681.297753846127</v>
      </c>
      <c r="Y19" s="2"/>
      <c r="Z19" s="6">
        <f t="shared" si="7"/>
        <v>0.1893032384580105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1381.25</v>
      </c>
      <c r="E20" s="3"/>
      <c r="F20" s="7">
        <f t="shared" si="0"/>
        <v>0</v>
      </c>
      <c r="G20" s="3"/>
      <c r="H20" s="8">
        <v>1358.2308923076901</v>
      </c>
      <c r="I20" s="3"/>
      <c r="J20" s="7">
        <f t="shared" si="1"/>
        <v>0</v>
      </c>
      <c r="K20" s="3"/>
      <c r="L20" s="8">
        <f t="shared" si="2"/>
        <v>23.019107692309944</v>
      </c>
      <c r="M20" s="3"/>
      <c r="N20" s="7">
        <f t="shared" si="3"/>
        <v>1.6947860501979554E-2</v>
      </c>
      <c r="O20" s="12"/>
      <c r="P20" s="8">
        <v>16415.78</v>
      </c>
      <c r="Q20" s="3"/>
      <c r="R20" s="7">
        <f t="shared" si="4"/>
        <v>0</v>
      </c>
      <c r="S20" s="3"/>
      <c r="T20" s="8">
        <v>16298.7707076923</v>
      </c>
      <c r="U20" s="3"/>
      <c r="V20" s="7">
        <f t="shared" si="5"/>
        <v>0</v>
      </c>
      <c r="W20" s="3"/>
      <c r="X20" s="8">
        <f t="shared" si="6"/>
        <v>117.00929230769907</v>
      </c>
      <c r="Y20" s="3"/>
      <c r="Z20" s="7">
        <f t="shared" si="7"/>
        <v>7.1790256091200698E-3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350.34</v>
      </c>
      <c r="E21" s="3"/>
      <c r="F21" s="7">
        <f t="shared" si="0"/>
        <v>0</v>
      </c>
      <c r="G21" s="3"/>
      <c r="H21" s="8">
        <v>672.63753846153895</v>
      </c>
      <c r="I21" s="3"/>
      <c r="J21" s="7">
        <f t="shared" si="1"/>
        <v>0</v>
      </c>
      <c r="K21" s="3"/>
      <c r="L21" s="8">
        <f t="shared" si="2"/>
        <v>-322.29753846153898</v>
      </c>
      <c r="M21" s="3"/>
      <c r="N21" s="7">
        <f t="shared" si="3"/>
        <v>-0.47915484942856451</v>
      </c>
      <c r="O21" s="12"/>
      <c r="P21" s="8">
        <v>2753.1</v>
      </c>
      <c r="Q21" s="3"/>
      <c r="R21" s="7">
        <f t="shared" si="4"/>
        <v>0</v>
      </c>
      <c r="S21" s="3"/>
      <c r="T21" s="8">
        <v>8071.6504615384702</v>
      </c>
      <c r="U21" s="3"/>
      <c r="V21" s="7">
        <f t="shared" si="5"/>
        <v>0</v>
      </c>
      <c r="W21" s="3"/>
      <c r="X21" s="8">
        <f t="shared" si="6"/>
        <v>-5318.5504615384707</v>
      </c>
      <c r="Y21" s="3"/>
      <c r="Z21" s="7">
        <f t="shared" si="7"/>
        <v>-0.65891734124036216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3042.72</v>
      </c>
      <c r="E22" s="3"/>
      <c r="F22" s="7">
        <f t="shared" si="0"/>
        <v>0</v>
      </c>
      <c r="G22" s="3"/>
      <c r="H22" s="8">
        <v>2764</v>
      </c>
      <c r="I22" s="3"/>
      <c r="J22" s="7">
        <f t="shared" si="1"/>
        <v>0</v>
      </c>
      <c r="K22" s="3"/>
      <c r="L22" s="8">
        <f t="shared" si="2"/>
        <v>278.7199999999998</v>
      </c>
      <c r="M22" s="3"/>
      <c r="N22" s="7">
        <f t="shared" si="3"/>
        <v>0.10083936324167865</v>
      </c>
      <c r="O22" s="12"/>
      <c r="P22" s="8">
        <v>35142.51</v>
      </c>
      <c r="Q22" s="3"/>
      <c r="R22" s="7">
        <f t="shared" si="4"/>
        <v>0</v>
      </c>
      <c r="S22" s="3"/>
      <c r="T22" s="8">
        <v>30404</v>
      </c>
      <c r="U22" s="3"/>
      <c r="V22" s="7">
        <f t="shared" si="5"/>
        <v>0</v>
      </c>
      <c r="W22" s="3"/>
      <c r="X22" s="8">
        <f t="shared" si="6"/>
        <v>4738.510000000002</v>
      </c>
      <c r="Y22" s="3"/>
      <c r="Z22" s="7">
        <f t="shared" si="7"/>
        <v>0.15585153269306676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70.61</v>
      </c>
      <c r="E23" s="3"/>
      <c r="F23" s="7">
        <f t="shared" si="0"/>
        <v>0</v>
      </c>
      <c r="G23" s="3"/>
      <c r="H23" s="8">
        <v>37.270153846153903</v>
      </c>
      <c r="I23" s="3"/>
      <c r="J23" s="7">
        <f t="shared" si="1"/>
        <v>0</v>
      </c>
      <c r="K23" s="3"/>
      <c r="L23" s="8">
        <f t="shared" si="2"/>
        <v>33.339846153846096</v>
      </c>
      <c r="M23" s="3"/>
      <c r="N23" s="7">
        <f t="shared" si="3"/>
        <v>0.8945454395350344</v>
      </c>
      <c r="O23" s="12"/>
      <c r="P23" s="8">
        <v>554.85</v>
      </c>
      <c r="Q23" s="3"/>
      <c r="R23" s="7">
        <f t="shared" si="4"/>
        <v>0</v>
      </c>
      <c r="S23" s="3"/>
      <c r="T23" s="8">
        <v>447.24184615384701</v>
      </c>
      <c r="U23" s="3"/>
      <c r="V23" s="7">
        <f t="shared" si="5"/>
        <v>0</v>
      </c>
      <c r="W23" s="3"/>
      <c r="X23" s="8">
        <f t="shared" si="6"/>
        <v>107.60815384615302</v>
      </c>
      <c r="Y23" s="3"/>
      <c r="Z23" s="7">
        <f t="shared" si="7"/>
        <v>0.24060394788983322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1948.13</v>
      </c>
      <c r="E24" s="3"/>
      <c r="F24" s="7">
        <f t="shared" si="0"/>
        <v>0</v>
      </c>
      <c r="G24" s="3"/>
      <c r="H24" s="8">
        <v>1526.3015384615401</v>
      </c>
      <c r="I24" s="3"/>
      <c r="J24" s="7">
        <f t="shared" si="1"/>
        <v>0</v>
      </c>
      <c r="K24" s="3"/>
      <c r="L24" s="8">
        <f t="shared" si="2"/>
        <v>421.82846153846003</v>
      </c>
      <c r="M24" s="3"/>
      <c r="N24" s="7">
        <f t="shared" si="3"/>
        <v>0.27637295181111377</v>
      </c>
      <c r="O24" s="12"/>
      <c r="P24" s="8">
        <v>22943.01</v>
      </c>
      <c r="Q24" s="3"/>
      <c r="R24" s="7">
        <f t="shared" si="4"/>
        <v>0</v>
      </c>
      <c r="S24" s="3"/>
      <c r="T24" s="8">
        <v>18315.618461538499</v>
      </c>
      <c r="U24" s="3"/>
      <c r="V24" s="7">
        <f t="shared" si="5"/>
        <v>0</v>
      </c>
      <c r="W24" s="3"/>
      <c r="X24" s="8">
        <f t="shared" si="6"/>
        <v>4627.3915384614993</v>
      </c>
      <c r="Y24" s="3"/>
      <c r="Z24" s="7">
        <f t="shared" si="7"/>
        <v>0.25264729925329543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>
        <v>1579.7</v>
      </c>
      <c r="E26" s="3"/>
      <c r="F26" s="7">
        <f t="shared" si="0"/>
        <v>0</v>
      </c>
      <c r="G26" s="3"/>
      <c r="H26" s="8">
        <v>1648</v>
      </c>
      <c r="I26" s="3"/>
      <c r="J26" s="7">
        <f t="shared" si="1"/>
        <v>0</v>
      </c>
      <c r="K26" s="3"/>
      <c r="L26" s="8">
        <f t="shared" si="2"/>
        <v>-68.299999999999955</v>
      </c>
      <c r="M26" s="3"/>
      <c r="N26" s="7">
        <f t="shared" si="3"/>
        <v>-4.1444174757281523E-2</v>
      </c>
      <c r="O26" s="12"/>
      <c r="P26" s="8">
        <v>20348.740000000002</v>
      </c>
      <c r="Q26" s="3"/>
      <c r="R26" s="7">
        <f t="shared" si="4"/>
        <v>0</v>
      </c>
      <c r="S26" s="3"/>
      <c r="T26" s="8">
        <v>19776</v>
      </c>
      <c r="U26" s="3"/>
      <c r="V26" s="7">
        <f t="shared" si="5"/>
        <v>0</v>
      </c>
      <c r="W26" s="3"/>
      <c r="X26" s="8">
        <f t="shared" si="6"/>
        <v>572.7400000000016</v>
      </c>
      <c r="Y26" s="3"/>
      <c r="Z26" s="7">
        <f t="shared" si="7"/>
        <v>2.896136731391594E-2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>
        <v>825.9</v>
      </c>
      <c r="E27" s="3"/>
      <c r="F27" s="7">
        <f t="shared" si="0"/>
        <v>0</v>
      </c>
      <c r="G27" s="3"/>
      <c r="H27" s="8">
        <v>126.769230769231</v>
      </c>
      <c r="I27" s="3"/>
      <c r="J27" s="7">
        <f t="shared" si="1"/>
        <v>0</v>
      </c>
      <c r="K27" s="3"/>
      <c r="L27" s="8">
        <f t="shared" si="2"/>
        <v>699.13076923076892</v>
      </c>
      <c r="M27" s="3"/>
      <c r="N27" s="7">
        <f t="shared" si="3"/>
        <v>5.5149878640776571</v>
      </c>
      <c r="O27" s="12"/>
      <c r="P27" s="8">
        <v>15822.27</v>
      </c>
      <c r="Q27" s="3"/>
      <c r="R27" s="7">
        <f t="shared" si="4"/>
        <v>0</v>
      </c>
      <c r="S27" s="3"/>
      <c r="T27" s="8">
        <v>1521.23076923077</v>
      </c>
      <c r="U27" s="3"/>
      <c r="V27" s="7">
        <f t="shared" si="5"/>
        <v>0</v>
      </c>
      <c r="W27" s="3"/>
      <c r="X27" s="8">
        <f t="shared" si="6"/>
        <v>14301.039230769231</v>
      </c>
      <c r="Y27" s="3"/>
      <c r="Z27" s="7">
        <f t="shared" si="7"/>
        <v>9.4009663228155294</v>
      </c>
    </row>
    <row r="28" spans="1:26" s="70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8">
        <v>211.71</v>
      </c>
      <c r="E28" s="3"/>
      <c r="F28" s="7">
        <f t="shared" si="0"/>
        <v>0</v>
      </c>
      <c r="G28" s="3"/>
      <c r="H28" s="8">
        <v>350</v>
      </c>
      <c r="I28" s="3"/>
      <c r="J28" s="7">
        <f t="shared" si="1"/>
        <v>0</v>
      </c>
      <c r="K28" s="3"/>
      <c r="L28" s="8">
        <f t="shared" si="2"/>
        <v>-138.29</v>
      </c>
      <c r="M28" s="3"/>
      <c r="N28" s="7">
        <f t="shared" si="3"/>
        <v>-0.3951142857142857</v>
      </c>
      <c r="O28" s="12"/>
      <c r="P28" s="8">
        <v>3385.55</v>
      </c>
      <c r="Q28" s="3"/>
      <c r="R28" s="7">
        <f t="shared" si="4"/>
        <v>0</v>
      </c>
      <c r="S28" s="3"/>
      <c r="T28" s="8">
        <v>3850</v>
      </c>
      <c r="U28" s="3"/>
      <c r="V28" s="7">
        <f t="shared" si="5"/>
        <v>0</v>
      </c>
      <c r="W28" s="3"/>
      <c r="X28" s="8">
        <f t="shared" si="6"/>
        <v>-464.44999999999982</v>
      </c>
      <c r="Y28" s="3"/>
      <c r="Z28" s="7">
        <f t="shared" si="7"/>
        <v>-0.12063636363636358</v>
      </c>
    </row>
    <row r="29" spans="1:26" s="69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15795.39</v>
      </c>
      <c r="E29" s="2"/>
      <c r="F29" s="6">
        <f t="shared" si="0"/>
        <v>0</v>
      </c>
      <c r="G29" s="2"/>
      <c r="H29" s="2">
        <f>SUM(OSRRefH22_1x_0)</f>
        <v>15972.923076923082</v>
      </c>
      <c r="I29" s="2"/>
      <c r="J29" s="6">
        <f t="shared" si="1"/>
        <v>0</v>
      </c>
      <c r="K29" s="2"/>
      <c r="L29" s="2">
        <f t="shared" si="2"/>
        <v>-177.53307692308226</v>
      </c>
      <c r="M29" s="2"/>
      <c r="N29" s="6">
        <f t="shared" si="3"/>
        <v>-1.1114626675913414E-2</v>
      </c>
      <c r="O29" s="14"/>
      <c r="P29" s="2">
        <f>SUM(OSRRefP22_1x_0)</f>
        <v>194145.1</v>
      </c>
      <c r="Q29" s="2"/>
      <c r="R29" s="6">
        <f t="shared" si="4"/>
        <v>0</v>
      </c>
      <c r="S29" s="2"/>
      <c r="T29" s="2">
        <f>SUM(OSRRefT22_1x_0)</f>
        <v>191675.07692307659</v>
      </c>
      <c r="U29" s="2"/>
      <c r="V29" s="6">
        <f t="shared" si="5"/>
        <v>0</v>
      </c>
      <c r="W29" s="2"/>
      <c r="X29" s="2">
        <f t="shared" si="6"/>
        <v>2470.0230769234186</v>
      </c>
      <c r="Y29" s="2"/>
      <c r="Z29" s="6">
        <f t="shared" si="7"/>
        <v>1.2886511468127351E-2</v>
      </c>
    </row>
    <row r="30" spans="1:26" s="70" customFormat="1" ht="15" hidden="1" customHeight="1" outlineLevel="2" x14ac:dyDescent="0.25">
      <c r="A30" s="25"/>
      <c r="B30" s="12" t="str">
        <f>CONCATENATE("          ","6001"," - ","ADMINISTRATIVE SALARIES")</f>
        <v xml:space="preserve">          6001 - ADMINISTRATIVE SALARIES</v>
      </c>
      <c r="C30" s="12"/>
      <c r="D30" s="8">
        <v>10360.85</v>
      </c>
      <c r="E30" s="3"/>
      <c r="F30" s="7">
        <f t="shared" si="0"/>
        <v>0</v>
      </c>
      <c r="G30" s="3"/>
      <c r="H30" s="8">
        <v>10268.307692307701</v>
      </c>
      <c r="I30" s="3"/>
      <c r="J30" s="7">
        <f t="shared" si="1"/>
        <v>0</v>
      </c>
      <c r="K30" s="3"/>
      <c r="L30" s="8">
        <f t="shared" si="2"/>
        <v>92.542307692299801</v>
      </c>
      <c r="M30" s="3"/>
      <c r="N30" s="7">
        <f t="shared" si="3"/>
        <v>9.0124205921123732E-3</v>
      </c>
      <c r="O30" s="12"/>
      <c r="P30" s="8">
        <v>123156.88</v>
      </c>
      <c r="Q30" s="3"/>
      <c r="R30" s="7">
        <f t="shared" si="4"/>
        <v>0</v>
      </c>
      <c r="S30" s="3"/>
      <c r="T30" s="8">
        <v>123219.69230769201</v>
      </c>
      <c r="U30" s="3"/>
      <c r="V30" s="7">
        <f t="shared" si="5"/>
        <v>0</v>
      </c>
      <c r="W30" s="3"/>
      <c r="X30" s="8">
        <f t="shared" si="6"/>
        <v>-62.812307692001923</v>
      </c>
      <c r="Y30" s="3"/>
      <c r="Z30" s="7">
        <f t="shared" si="7"/>
        <v>-5.0975867992879948E-4</v>
      </c>
    </row>
    <row r="31" spans="1:26" s="70" customFormat="1" ht="15" hidden="1" customHeight="1" outlineLevel="2" x14ac:dyDescent="0.25">
      <c r="A31" s="25"/>
      <c r="B31" s="12" t="str">
        <f>CONCATENATE("          ","6002"," - ","STAFF SALARIES")</f>
        <v xml:space="preserve">          6002 - STAFF SALARIES</v>
      </c>
      <c r="C31" s="12"/>
      <c r="D31" s="8">
        <v>5434.54</v>
      </c>
      <c r="E31" s="3"/>
      <c r="F31" s="7">
        <f t="shared" si="0"/>
        <v>0</v>
      </c>
      <c r="G31" s="3"/>
      <c r="H31" s="8">
        <v>5704.6153846153802</v>
      </c>
      <c r="I31" s="3"/>
      <c r="J31" s="7">
        <f t="shared" si="1"/>
        <v>0</v>
      </c>
      <c r="K31" s="3"/>
      <c r="L31" s="8">
        <f t="shared" si="2"/>
        <v>-270.07538461538024</v>
      </c>
      <c r="M31" s="3"/>
      <c r="N31" s="7">
        <f t="shared" si="3"/>
        <v>-4.7343311758359576E-2</v>
      </c>
      <c r="O31" s="12"/>
      <c r="P31" s="8">
        <v>67980.98</v>
      </c>
      <c r="Q31" s="3"/>
      <c r="R31" s="7">
        <f t="shared" si="4"/>
        <v>0</v>
      </c>
      <c r="S31" s="3"/>
      <c r="T31" s="8">
        <v>68455.384615384595</v>
      </c>
      <c r="U31" s="3"/>
      <c r="V31" s="7">
        <f t="shared" si="5"/>
        <v>0</v>
      </c>
      <c r="W31" s="3"/>
      <c r="X31" s="8">
        <f t="shared" si="6"/>
        <v>-474.40461538459931</v>
      </c>
      <c r="Y31" s="3"/>
      <c r="Z31" s="7">
        <f t="shared" si="7"/>
        <v>-6.9301285508807453E-3</v>
      </c>
    </row>
    <row r="32" spans="1:26" s="70" customFormat="1" ht="15" hidden="1" customHeight="1" outlineLevel="2" x14ac:dyDescent="0.25">
      <c r="A32" s="25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>
        <v>1380.76</v>
      </c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1380.76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>
        <v>1626.48</v>
      </c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1626.48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>
        <v>0</v>
      </c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25">
      <c r="A40" s="26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839</v>
      </c>
      <c r="I40" s="2"/>
      <c r="J40" s="6">
        <f t="shared" si="1"/>
        <v>0</v>
      </c>
      <c r="K40" s="2"/>
      <c r="L40" s="2">
        <f t="shared" si="2"/>
        <v>-839</v>
      </c>
      <c r="M40" s="2"/>
      <c r="N40" s="6">
        <f t="shared" si="3"/>
        <v>-1</v>
      </c>
      <c r="O40" s="14"/>
      <c r="P40" s="2">
        <f>SUM(OSRRefP22_2x_0)</f>
        <v>2118.23</v>
      </c>
      <c r="Q40" s="2"/>
      <c r="R40" s="6">
        <f t="shared" si="4"/>
        <v>0</v>
      </c>
      <c r="S40" s="2"/>
      <c r="T40" s="2">
        <f>SUM(OSRRefT22_2x_0)</f>
        <v>9229</v>
      </c>
      <c r="U40" s="2"/>
      <c r="V40" s="6">
        <f t="shared" si="5"/>
        <v>0</v>
      </c>
      <c r="W40" s="2"/>
      <c r="X40" s="2">
        <f t="shared" si="6"/>
        <v>-7110.77</v>
      </c>
      <c r="Y40" s="2"/>
      <c r="Z40" s="6">
        <f t="shared" si="7"/>
        <v>-0.77048109220934013</v>
      </c>
    </row>
    <row r="41" spans="1:26" s="70" customFormat="1" ht="15" hidden="1" customHeight="1" outlineLevel="2" x14ac:dyDescent="0.25">
      <c r="A41" s="25"/>
      <c r="B41" s="12" t="str">
        <f>CONCATENATE("          ","6381"," - ","BANK/CREDIT CARD FEES")</f>
        <v xml:space="preserve">          6381 - BANK/CREDIT CARD FEES</v>
      </c>
      <c r="C41" s="12"/>
      <c r="D41" s="8"/>
      <c r="E41" s="3"/>
      <c r="F41" s="7">
        <f t="shared" si="0"/>
        <v>0</v>
      </c>
      <c r="G41" s="3"/>
      <c r="H41" s="8">
        <v>839</v>
      </c>
      <c r="I41" s="3"/>
      <c r="J41" s="7">
        <f t="shared" si="1"/>
        <v>0</v>
      </c>
      <c r="K41" s="3"/>
      <c r="L41" s="8">
        <f t="shared" si="2"/>
        <v>-839</v>
      </c>
      <c r="M41" s="3"/>
      <c r="N41" s="7">
        <f t="shared" si="3"/>
        <v>-1</v>
      </c>
      <c r="O41" s="12"/>
      <c r="P41" s="8">
        <v>2118.23</v>
      </c>
      <c r="Q41" s="3"/>
      <c r="R41" s="7">
        <f t="shared" si="4"/>
        <v>0</v>
      </c>
      <c r="S41" s="3"/>
      <c r="T41" s="8">
        <v>9229</v>
      </c>
      <c r="U41" s="3"/>
      <c r="V41" s="7">
        <f t="shared" si="5"/>
        <v>0</v>
      </c>
      <c r="W41" s="3"/>
      <c r="X41" s="8">
        <f t="shared" si="6"/>
        <v>-7110.77</v>
      </c>
      <c r="Y41" s="3"/>
      <c r="Z41" s="7">
        <f t="shared" si="7"/>
        <v>-0.77048109220934013</v>
      </c>
    </row>
    <row r="42" spans="1:26" s="69" customFormat="1" ht="15" customHeight="1" outlineLevel="1" collapsed="1" x14ac:dyDescent="0.25">
      <c r="A42" s="26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7700.66</v>
      </c>
      <c r="E42" s="2"/>
      <c r="F42" s="6">
        <f t="shared" si="0"/>
        <v>0</v>
      </c>
      <c r="G42" s="2"/>
      <c r="H42" s="2">
        <f>SUM(OSRRefH22_3x_0)</f>
        <v>4757</v>
      </c>
      <c r="I42" s="2"/>
      <c r="J42" s="6">
        <f t="shared" si="1"/>
        <v>0</v>
      </c>
      <c r="K42" s="2"/>
      <c r="L42" s="2">
        <f t="shared" si="2"/>
        <v>2943.66</v>
      </c>
      <c r="M42" s="2"/>
      <c r="N42" s="6">
        <f t="shared" si="3"/>
        <v>0.61880597014925365</v>
      </c>
      <c r="O42" s="14"/>
      <c r="P42" s="2">
        <f>SUM(OSRRefP22_3x_0)</f>
        <v>62389.710000000006</v>
      </c>
      <c r="Q42" s="2"/>
      <c r="R42" s="6">
        <f t="shared" si="4"/>
        <v>0</v>
      </c>
      <c r="S42" s="2"/>
      <c r="T42" s="2">
        <f>SUM(OSRRefT22_3x_0)</f>
        <v>56927</v>
      </c>
      <c r="U42" s="2"/>
      <c r="V42" s="6">
        <f t="shared" si="5"/>
        <v>0</v>
      </c>
      <c r="W42" s="2"/>
      <c r="X42" s="2">
        <f t="shared" si="6"/>
        <v>5462.7100000000064</v>
      </c>
      <c r="Y42" s="2"/>
      <c r="Z42" s="6">
        <f t="shared" si="7"/>
        <v>9.5959913573524097E-2</v>
      </c>
    </row>
    <row r="43" spans="1:26" s="70" customFormat="1" ht="15" hidden="1" customHeight="1" outlineLevel="2" x14ac:dyDescent="0.25">
      <c r="A43" s="25"/>
      <c r="B43" s="12" t="str">
        <f>CONCATENATE("          ","6321"," - ","BUILDING DEPRECIATION")</f>
        <v xml:space="preserve">          6321 - BUILDING DEPRECIATION</v>
      </c>
      <c r="C43" s="12"/>
      <c r="D43" s="8">
        <v>1822.68</v>
      </c>
      <c r="E43" s="3"/>
      <c r="F43" s="7">
        <f t="shared" si="0"/>
        <v>0</v>
      </c>
      <c r="G43" s="3"/>
      <c r="H43" s="8"/>
      <c r="I43" s="3"/>
      <c r="J43" s="7">
        <f t="shared" si="1"/>
        <v>0</v>
      </c>
      <c r="K43" s="3"/>
      <c r="L43" s="8">
        <f t="shared" si="2"/>
        <v>1822.68</v>
      </c>
      <c r="M43" s="3"/>
      <c r="N43" s="7">
        <f t="shared" si="3"/>
        <v>0</v>
      </c>
      <c r="O43" s="12"/>
      <c r="P43" s="8">
        <v>20049.48</v>
      </c>
      <c r="Q43" s="3"/>
      <c r="R43" s="7">
        <f t="shared" si="4"/>
        <v>0</v>
      </c>
      <c r="S43" s="3"/>
      <c r="T43" s="8"/>
      <c r="U43" s="3"/>
      <c r="V43" s="7">
        <f t="shared" si="5"/>
        <v>0</v>
      </c>
      <c r="W43" s="3"/>
      <c r="X43" s="8">
        <f t="shared" si="6"/>
        <v>20049.48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","6322"," - ","EQUIPMENT DEPRECIATION EXPENSE")</f>
        <v xml:space="preserve">          6322 - EQUIPMENT DEPRECIATION EXPENSE</v>
      </c>
      <c r="C44" s="12"/>
      <c r="D44" s="8">
        <v>5877.98</v>
      </c>
      <c r="E44" s="3"/>
      <c r="F44" s="7">
        <f t="shared" si="0"/>
        <v>0</v>
      </c>
      <c r="G44" s="3"/>
      <c r="H44" s="8">
        <v>4757</v>
      </c>
      <c r="I44" s="3"/>
      <c r="J44" s="7">
        <f t="shared" si="1"/>
        <v>0</v>
      </c>
      <c r="K44" s="3"/>
      <c r="L44" s="8">
        <f t="shared" si="2"/>
        <v>1120.9799999999996</v>
      </c>
      <c r="M44" s="3"/>
      <c r="N44" s="7">
        <f t="shared" si="3"/>
        <v>0.23564851797351263</v>
      </c>
      <c r="O44" s="12"/>
      <c r="P44" s="8">
        <v>42340.23</v>
      </c>
      <c r="Q44" s="3"/>
      <c r="R44" s="7">
        <f t="shared" si="4"/>
        <v>0</v>
      </c>
      <c r="S44" s="3"/>
      <c r="T44" s="8">
        <v>56927</v>
      </c>
      <c r="U44" s="3"/>
      <c r="V44" s="7">
        <f t="shared" si="5"/>
        <v>0</v>
      </c>
      <c r="W44" s="3"/>
      <c r="X44" s="8">
        <f t="shared" si="6"/>
        <v>-14586.769999999997</v>
      </c>
      <c r="Y44" s="3"/>
      <c r="Z44" s="7">
        <f t="shared" si="7"/>
        <v>-0.25623640803133835</v>
      </c>
    </row>
    <row r="45" spans="1:26" s="69" customFormat="1" ht="15" customHeight="1" outlineLevel="1" collapsed="1" x14ac:dyDescent="0.25">
      <c r="A45" s="26"/>
      <c r="B45" s="14" t="str">
        <f>CONCATENATE("     ","Employees' Appreciation                           ")</f>
        <v xml:space="preserve">     Employees' Appreciation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SUM(OSRRefP22_4x_0)</f>
        <v>18</v>
      </c>
      <c r="Q45" s="2"/>
      <c r="R45" s="6">
        <f t="shared" si="4"/>
        <v>0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18</v>
      </c>
      <c r="Y45" s="2"/>
      <c r="Z45" s="6">
        <f t="shared" si="7"/>
        <v>0</v>
      </c>
    </row>
    <row r="46" spans="1:26" s="70" customFormat="1" ht="15" hidden="1" customHeight="1" outlineLevel="2" x14ac:dyDescent="0.25">
      <c r="A46" s="25"/>
      <c r="B46" s="12" t="str">
        <f>CONCATENATE("          ","6277"," - ","EMPLOYEE APPRECIATION")</f>
        <v xml:space="preserve">          6277 - EMPLOYEE APPRECIATION</v>
      </c>
      <c r="C46" s="12"/>
      <c r="D46" s="8"/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>
        <v>18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18</v>
      </c>
      <c r="Y46" s="3"/>
      <c r="Z46" s="7">
        <f t="shared" si="7"/>
        <v>0</v>
      </c>
    </row>
    <row r="47" spans="1:26" s="69" customFormat="1" ht="15" customHeight="1" outlineLevel="1" collapsed="1" x14ac:dyDescent="0.25">
      <c r="A47" s="26"/>
      <c r="B47" s="14" t="str">
        <f>CONCATENATE("     ","Equipment Rental                                  ")</f>
        <v xml:space="preserve">     Equipment Rental                                  </v>
      </c>
      <c r="C47" s="14"/>
      <c r="D47" s="2">
        <f>SUM(OSRRefD22_5x_0)</f>
        <v>91.26</v>
      </c>
      <c r="E47" s="2"/>
      <c r="F47" s="6">
        <f t="shared" si="0"/>
        <v>0</v>
      </c>
      <c r="G47" s="2"/>
      <c r="H47" s="2">
        <f>SUM(OSRRefH22_5x_0)</f>
        <v>300</v>
      </c>
      <c r="I47" s="2"/>
      <c r="J47" s="6">
        <f t="shared" si="1"/>
        <v>0</v>
      </c>
      <c r="K47" s="2"/>
      <c r="L47" s="2">
        <f t="shared" si="2"/>
        <v>-208.74</v>
      </c>
      <c r="M47" s="2"/>
      <c r="N47" s="6">
        <f t="shared" si="3"/>
        <v>-0.69580000000000009</v>
      </c>
      <c r="O47" s="14"/>
      <c r="P47" s="2">
        <f>SUM(OSRRefP22_5x_0)</f>
        <v>912.6</v>
      </c>
      <c r="Q47" s="2"/>
      <c r="R47" s="6">
        <f t="shared" si="4"/>
        <v>0</v>
      </c>
      <c r="S47" s="2"/>
      <c r="T47" s="2">
        <f>SUM(OSRRefT22_5x_0)</f>
        <v>3300</v>
      </c>
      <c r="U47" s="2"/>
      <c r="V47" s="6">
        <f t="shared" si="5"/>
        <v>0</v>
      </c>
      <c r="W47" s="2"/>
      <c r="X47" s="2">
        <f t="shared" si="6"/>
        <v>-2387.4</v>
      </c>
      <c r="Y47" s="2"/>
      <c r="Z47" s="6">
        <f t="shared" si="7"/>
        <v>-0.72345454545454546</v>
      </c>
    </row>
    <row r="48" spans="1:26" s="70" customFormat="1" ht="15" hidden="1" customHeight="1" outlineLevel="2" x14ac:dyDescent="0.25">
      <c r="A48" s="25"/>
      <c r="B48" s="12" t="str">
        <f>CONCATENATE("          ","6351"," - ","EQUIPMENT RENTAL")</f>
        <v xml:space="preserve">          6351 - EQUIPMENT RENTAL</v>
      </c>
      <c r="C48" s="12"/>
      <c r="D48" s="8">
        <v>91.26</v>
      </c>
      <c r="E48" s="3"/>
      <c r="F48" s="7">
        <f t="shared" si="0"/>
        <v>0</v>
      </c>
      <c r="G48" s="3"/>
      <c r="H48" s="8">
        <v>300</v>
      </c>
      <c r="I48" s="3"/>
      <c r="J48" s="7">
        <f t="shared" si="1"/>
        <v>0</v>
      </c>
      <c r="K48" s="3"/>
      <c r="L48" s="8">
        <f t="shared" si="2"/>
        <v>-208.74</v>
      </c>
      <c r="M48" s="3"/>
      <c r="N48" s="7">
        <f t="shared" si="3"/>
        <v>-0.69580000000000009</v>
      </c>
      <c r="O48" s="12"/>
      <c r="P48" s="8">
        <v>912.6</v>
      </c>
      <c r="Q48" s="3"/>
      <c r="R48" s="7">
        <f t="shared" si="4"/>
        <v>0</v>
      </c>
      <c r="S48" s="3"/>
      <c r="T48" s="8">
        <v>3300</v>
      </c>
      <c r="U48" s="3"/>
      <c r="V48" s="7">
        <f t="shared" si="5"/>
        <v>0</v>
      </c>
      <c r="W48" s="3"/>
      <c r="X48" s="8">
        <f t="shared" si="6"/>
        <v>-2387.4</v>
      </c>
      <c r="Y48" s="3"/>
      <c r="Z48" s="7">
        <f t="shared" si="7"/>
        <v>-0.72345454545454546</v>
      </c>
    </row>
    <row r="49" spans="1:26" s="69" customFormat="1" ht="15" customHeight="1" outlineLevel="1" collapsed="1" x14ac:dyDescent="0.25">
      <c r="A49" s="26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0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0</v>
      </c>
      <c r="M49" s="2"/>
      <c r="N49" s="6">
        <f t="shared" si="3"/>
        <v>0</v>
      </c>
      <c r="O49" s="14"/>
      <c r="P49" s="2">
        <f>SUM(OSRRefP22_6x_0)</f>
        <v>337.51</v>
      </c>
      <c r="Q49" s="2"/>
      <c r="R49" s="6">
        <f t="shared" si="4"/>
        <v>0</v>
      </c>
      <c r="S49" s="2"/>
      <c r="T49" s="2">
        <f>SUM(OSRRefT22_6x_0)</f>
        <v>1000</v>
      </c>
      <c r="U49" s="2"/>
      <c r="V49" s="6">
        <f t="shared" si="5"/>
        <v>0</v>
      </c>
      <c r="W49" s="2"/>
      <c r="X49" s="2">
        <f t="shared" si="6"/>
        <v>-662.49</v>
      </c>
      <c r="Y49" s="2"/>
      <c r="Z49" s="6">
        <f t="shared" si="7"/>
        <v>-0.66249000000000002</v>
      </c>
    </row>
    <row r="50" spans="1:26" s="70" customFormat="1" ht="15" hidden="1" customHeight="1" outlineLevel="2" x14ac:dyDescent="0.25">
      <c r="A50" s="25"/>
      <c r="B50" s="12" t="str">
        <f>CONCATENATE("          ","6279"," - ","GENERAL EXPENSE")</f>
        <v xml:space="preserve">          6279 - GENERAL EXPENSE</v>
      </c>
      <c r="C50" s="12"/>
      <c r="D50" s="8"/>
      <c r="E50" s="3"/>
      <c r="F50" s="7">
        <f t="shared" ref="F50:F77" si="8">IF(D$12=0,0,D50/D$12)</f>
        <v>0</v>
      </c>
      <c r="G50" s="3"/>
      <c r="H50" s="8"/>
      <c r="I50" s="3"/>
      <c r="J50" s="7">
        <f t="shared" ref="J50:J77" si="9">IF(H$12=0,0,H50/H$12)</f>
        <v>0</v>
      </c>
      <c r="K50" s="3"/>
      <c r="L50" s="8">
        <f t="shared" ref="L50:L77" si="10">+D50-H50</f>
        <v>0</v>
      </c>
      <c r="M50" s="3"/>
      <c r="N50" s="7">
        <f t="shared" ref="N50:N77" si="11">IF(H50=0,0,L50/H50)</f>
        <v>0</v>
      </c>
      <c r="O50" s="12"/>
      <c r="P50" s="8">
        <v>337.51</v>
      </c>
      <c r="Q50" s="3"/>
      <c r="R50" s="7">
        <f t="shared" ref="R50:R77" si="12">IF(P$12=0,0,P50/P$12)</f>
        <v>0</v>
      </c>
      <c r="S50" s="3"/>
      <c r="T50" s="8">
        <v>1000</v>
      </c>
      <c r="U50" s="3"/>
      <c r="V50" s="7">
        <f t="shared" ref="V50:V77" si="13">IF(T$12=0,0,T50/T$12)</f>
        <v>0</v>
      </c>
      <c r="W50" s="3"/>
      <c r="X50" s="8">
        <f t="shared" ref="X50:X77" si="14">+P50-T50</f>
        <v>-662.49</v>
      </c>
      <c r="Y50" s="3"/>
      <c r="Z50" s="7">
        <f t="shared" ref="Z50:Z77" si="15">IF(T50=0,0,X50/T50)</f>
        <v>-0.66249000000000002</v>
      </c>
    </row>
    <row r="51" spans="1:26" s="69" customFormat="1" ht="15" customHeight="1" outlineLevel="1" collapsed="1" x14ac:dyDescent="0.25">
      <c r="A51" s="26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4884.6000000000004</v>
      </c>
      <c r="E51" s="2"/>
      <c r="F51" s="6">
        <f t="shared" si="8"/>
        <v>0</v>
      </c>
      <c r="G51" s="2"/>
      <c r="H51" s="2">
        <f>SUM(OSRRefH22_7x_0)</f>
        <v>4820</v>
      </c>
      <c r="I51" s="2"/>
      <c r="J51" s="6">
        <f t="shared" si="9"/>
        <v>0</v>
      </c>
      <c r="K51" s="2"/>
      <c r="L51" s="2">
        <f t="shared" si="10"/>
        <v>64.600000000000364</v>
      </c>
      <c r="M51" s="2"/>
      <c r="N51" s="6">
        <f t="shared" si="11"/>
        <v>1.3402489626556092E-2</v>
      </c>
      <c r="O51" s="14"/>
      <c r="P51" s="2">
        <f>SUM(OSRRefP22_7x_0)</f>
        <v>60613.599999999999</v>
      </c>
      <c r="Q51" s="2"/>
      <c r="R51" s="6">
        <f t="shared" si="12"/>
        <v>0</v>
      </c>
      <c r="S51" s="2"/>
      <c r="T51" s="2">
        <f>SUM(OSRRefT22_7x_0)</f>
        <v>53020</v>
      </c>
      <c r="U51" s="2"/>
      <c r="V51" s="6">
        <f t="shared" si="13"/>
        <v>0</v>
      </c>
      <c r="W51" s="2"/>
      <c r="X51" s="2">
        <f t="shared" si="14"/>
        <v>7593.5999999999985</v>
      </c>
      <c r="Y51" s="2"/>
      <c r="Z51" s="6">
        <f t="shared" si="15"/>
        <v>0.14322142587702752</v>
      </c>
    </row>
    <row r="52" spans="1:26" s="70" customFormat="1" ht="15" hidden="1" customHeight="1" outlineLevel="2" x14ac:dyDescent="0.25">
      <c r="A52" s="25"/>
      <c r="B52" s="12" t="str">
        <f>CONCATENATE("          ","6314"," - ","LIABILITY INSURANCE")</f>
        <v xml:space="preserve">          6314 - LIABILITY INSURANCE</v>
      </c>
      <c r="C52" s="12"/>
      <c r="D52" s="8">
        <v>4884.6000000000004</v>
      </c>
      <c r="E52" s="3"/>
      <c r="F52" s="7">
        <f t="shared" si="8"/>
        <v>0</v>
      </c>
      <c r="G52" s="3"/>
      <c r="H52" s="8">
        <v>4820</v>
      </c>
      <c r="I52" s="3"/>
      <c r="J52" s="7">
        <f t="shared" si="9"/>
        <v>0</v>
      </c>
      <c r="K52" s="3"/>
      <c r="L52" s="8">
        <f t="shared" si="10"/>
        <v>64.600000000000364</v>
      </c>
      <c r="M52" s="3"/>
      <c r="N52" s="7">
        <f t="shared" si="11"/>
        <v>1.3402489626556092E-2</v>
      </c>
      <c r="O52" s="12"/>
      <c r="P52" s="8">
        <v>60613.599999999999</v>
      </c>
      <c r="Q52" s="3"/>
      <c r="R52" s="7">
        <f t="shared" si="12"/>
        <v>0</v>
      </c>
      <c r="S52" s="3"/>
      <c r="T52" s="8">
        <v>53020</v>
      </c>
      <c r="U52" s="3"/>
      <c r="V52" s="7">
        <f t="shared" si="13"/>
        <v>0</v>
      </c>
      <c r="W52" s="3"/>
      <c r="X52" s="8">
        <f t="shared" si="14"/>
        <v>7593.5999999999985</v>
      </c>
      <c r="Y52" s="3"/>
      <c r="Z52" s="7">
        <f t="shared" si="15"/>
        <v>0.14322142587702752</v>
      </c>
    </row>
    <row r="53" spans="1:26" s="69" customFormat="1" ht="15" customHeight="1" outlineLevel="1" collapsed="1" x14ac:dyDescent="0.25">
      <c r="A53" s="26"/>
      <c r="B53" s="14" t="str">
        <f>CONCATENATE("     ","Professional Services                             ")</f>
        <v xml:space="preserve">     Professional Services                             </v>
      </c>
      <c r="C53" s="14"/>
      <c r="D53" s="2">
        <f>SUM(OSRRefD22_8x_0)</f>
        <v>511.58</v>
      </c>
      <c r="E53" s="2"/>
      <c r="F53" s="6">
        <f t="shared" si="8"/>
        <v>0</v>
      </c>
      <c r="G53" s="2"/>
      <c r="H53" s="2">
        <f>SUM(OSRRefH22_8x_0)</f>
        <v>0</v>
      </c>
      <c r="I53" s="2"/>
      <c r="J53" s="6">
        <f t="shared" si="9"/>
        <v>0</v>
      </c>
      <c r="K53" s="2"/>
      <c r="L53" s="2">
        <f t="shared" si="10"/>
        <v>511.58</v>
      </c>
      <c r="M53" s="2"/>
      <c r="N53" s="6">
        <f t="shared" si="11"/>
        <v>0</v>
      </c>
      <c r="O53" s="14"/>
      <c r="P53" s="2">
        <f>SUM(OSRRefP22_8x_0)</f>
        <v>511.58</v>
      </c>
      <c r="Q53" s="2"/>
      <c r="R53" s="6">
        <f t="shared" si="12"/>
        <v>0</v>
      </c>
      <c r="S53" s="2"/>
      <c r="T53" s="2">
        <f>SUM(OSRRefT22_8x_0)</f>
        <v>0</v>
      </c>
      <c r="U53" s="2"/>
      <c r="V53" s="6">
        <f t="shared" si="13"/>
        <v>0</v>
      </c>
      <c r="W53" s="2"/>
      <c r="X53" s="2">
        <f t="shared" si="14"/>
        <v>511.58</v>
      </c>
      <c r="Y53" s="2"/>
      <c r="Z53" s="6">
        <f t="shared" si="15"/>
        <v>0</v>
      </c>
    </row>
    <row r="54" spans="1:26" s="70" customFormat="1" ht="15" hidden="1" customHeight="1" outlineLevel="2" x14ac:dyDescent="0.25">
      <c r="A54" s="25"/>
      <c r="B54" s="12" t="str">
        <f>CONCATENATE("          ","6336"," - ","PROFESSIONAL SERVICES")</f>
        <v xml:space="preserve">          6336 - PROFESSIONAL SERVICES</v>
      </c>
      <c r="C54" s="12"/>
      <c r="D54" s="8">
        <v>511.58</v>
      </c>
      <c r="E54" s="3"/>
      <c r="F54" s="7">
        <f t="shared" si="8"/>
        <v>0</v>
      </c>
      <c r="G54" s="3"/>
      <c r="H54" s="8"/>
      <c r="I54" s="3"/>
      <c r="J54" s="7">
        <f t="shared" si="9"/>
        <v>0</v>
      </c>
      <c r="K54" s="3"/>
      <c r="L54" s="8">
        <f t="shared" si="10"/>
        <v>511.58</v>
      </c>
      <c r="M54" s="3"/>
      <c r="N54" s="7">
        <f t="shared" si="11"/>
        <v>0</v>
      </c>
      <c r="O54" s="12"/>
      <c r="P54" s="8">
        <v>511.58</v>
      </c>
      <c r="Q54" s="3"/>
      <c r="R54" s="7">
        <f t="shared" si="12"/>
        <v>0</v>
      </c>
      <c r="S54" s="3"/>
      <c r="T54" s="8"/>
      <c r="U54" s="3"/>
      <c r="V54" s="7">
        <f t="shared" si="13"/>
        <v>0</v>
      </c>
      <c r="W54" s="3"/>
      <c r="X54" s="8">
        <f t="shared" si="14"/>
        <v>511.58</v>
      </c>
      <c r="Y54" s="3"/>
      <c r="Z54" s="7">
        <f t="shared" si="15"/>
        <v>0</v>
      </c>
    </row>
    <row r="55" spans="1:26" s="69" customFormat="1" ht="15" customHeight="1" outlineLevel="1" collapsed="1" x14ac:dyDescent="0.25">
      <c r="A55" s="26"/>
      <c r="B55" s="14" t="str">
        <f>CONCATENATE("     ","Repair and Maintenance                            ")</f>
        <v xml:space="preserve">     Repair and Maintenance                            </v>
      </c>
      <c r="C55" s="14"/>
      <c r="D55" s="2">
        <f>SUM(OSRRefD22_9x_0)</f>
        <v>1712.8300000000002</v>
      </c>
      <c r="E55" s="2"/>
      <c r="F55" s="6">
        <f t="shared" si="8"/>
        <v>0</v>
      </c>
      <c r="G55" s="2"/>
      <c r="H55" s="2">
        <f>SUM(OSRRefH22_9x_0)</f>
        <v>0</v>
      </c>
      <c r="I55" s="2"/>
      <c r="J55" s="6">
        <f t="shared" si="9"/>
        <v>0</v>
      </c>
      <c r="K55" s="2"/>
      <c r="L55" s="2">
        <f t="shared" si="10"/>
        <v>1712.8300000000002</v>
      </c>
      <c r="M55" s="2"/>
      <c r="N55" s="6">
        <f t="shared" si="11"/>
        <v>0</v>
      </c>
      <c r="O55" s="14"/>
      <c r="P55" s="2">
        <f>SUM(OSRRefP22_9x_0)</f>
        <v>37030.83</v>
      </c>
      <c r="Q55" s="2"/>
      <c r="R55" s="6">
        <f t="shared" si="12"/>
        <v>0</v>
      </c>
      <c r="S55" s="2"/>
      <c r="T55" s="2">
        <f>SUM(OSRRefT22_9x_0)</f>
        <v>8000</v>
      </c>
      <c r="U55" s="2"/>
      <c r="V55" s="6">
        <f t="shared" si="13"/>
        <v>0</v>
      </c>
      <c r="W55" s="2"/>
      <c r="X55" s="2">
        <f t="shared" si="14"/>
        <v>29030.83</v>
      </c>
      <c r="Y55" s="2"/>
      <c r="Z55" s="6">
        <f t="shared" si="15"/>
        <v>3.6288537500000002</v>
      </c>
    </row>
    <row r="56" spans="1:26" s="70" customFormat="1" ht="15" hidden="1" customHeight="1" outlineLevel="2" x14ac:dyDescent="0.25">
      <c r="A56" s="25"/>
      <c r="B56" s="12" t="str">
        <f>CONCATENATE("          ","6371"," - ","COMPUTER SOFTWARE MAINTENANCE")</f>
        <v xml:space="preserve">          6371 - COMPUTER SOFTWARE MAINTENANCE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16567.060000000001</v>
      </c>
      <c r="Q56" s="3"/>
      <c r="R56" s="7">
        <f t="shared" si="12"/>
        <v>0</v>
      </c>
      <c r="S56" s="3"/>
      <c r="T56" s="8"/>
      <c r="U56" s="3"/>
      <c r="V56" s="7">
        <f t="shared" si="13"/>
        <v>0</v>
      </c>
      <c r="W56" s="3"/>
      <c r="X56" s="8">
        <f t="shared" si="14"/>
        <v>16567.060000000001</v>
      </c>
      <c r="Y56" s="3"/>
      <c r="Z56" s="7">
        <f t="shared" si="15"/>
        <v>0</v>
      </c>
    </row>
    <row r="57" spans="1:26" s="70" customFormat="1" ht="15" hidden="1" customHeight="1" outlineLevel="2" x14ac:dyDescent="0.25">
      <c r="A57" s="25"/>
      <c r="B57" s="12" t="str">
        <f>CONCATENATE("          ","6372"," - ","COMPUTER HARDWARE MAINTENANCE")</f>
        <v xml:space="preserve">          6372 - COMPUTER HARDWARE MAINTENANCE</v>
      </c>
      <c r="C57" s="12"/>
      <c r="D57" s="8"/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0</v>
      </c>
      <c r="M57" s="3"/>
      <c r="N57" s="7">
        <f t="shared" si="11"/>
        <v>0</v>
      </c>
      <c r="O57" s="12"/>
      <c r="P57" s="8"/>
      <c r="Q57" s="3"/>
      <c r="R57" s="7">
        <f t="shared" si="12"/>
        <v>0</v>
      </c>
      <c r="S57" s="3"/>
      <c r="T57" s="8">
        <v>8000</v>
      </c>
      <c r="U57" s="3"/>
      <c r="V57" s="7">
        <f t="shared" si="13"/>
        <v>0</v>
      </c>
      <c r="W57" s="3"/>
      <c r="X57" s="8">
        <f t="shared" si="14"/>
        <v>-8000</v>
      </c>
      <c r="Y57" s="3"/>
      <c r="Z57" s="7">
        <f t="shared" si="15"/>
        <v>-1</v>
      </c>
    </row>
    <row r="58" spans="1:26" s="70" customFormat="1" ht="15" hidden="1" customHeight="1" outlineLevel="2" x14ac:dyDescent="0.25">
      <c r="A58" s="25"/>
      <c r="B58" s="12" t="str">
        <f>CONCATENATE("          ","6373"," - ","MAINTENANCE CONTRACTS")</f>
        <v xml:space="preserve">          6373 - MAINTENANCE CONTRACTS</v>
      </c>
      <c r="C58" s="12"/>
      <c r="D58" s="8">
        <v>1670.94</v>
      </c>
      <c r="E58" s="3"/>
      <c r="F58" s="7">
        <f t="shared" si="8"/>
        <v>0</v>
      </c>
      <c r="G58" s="3"/>
      <c r="H58" s="8"/>
      <c r="I58" s="3"/>
      <c r="J58" s="7">
        <f t="shared" si="9"/>
        <v>0</v>
      </c>
      <c r="K58" s="3"/>
      <c r="L58" s="8">
        <f t="shared" si="10"/>
        <v>1670.94</v>
      </c>
      <c r="M58" s="3"/>
      <c r="N58" s="7">
        <f t="shared" si="11"/>
        <v>0</v>
      </c>
      <c r="O58" s="12"/>
      <c r="P58" s="8">
        <v>9387.94</v>
      </c>
      <c r="Q58" s="3"/>
      <c r="R58" s="7">
        <f t="shared" si="12"/>
        <v>0</v>
      </c>
      <c r="S58" s="3"/>
      <c r="T58" s="8"/>
      <c r="U58" s="3"/>
      <c r="V58" s="7">
        <f t="shared" si="13"/>
        <v>0</v>
      </c>
      <c r="W58" s="3"/>
      <c r="X58" s="8">
        <f t="shared" si="14"/>
        <v>9387.94</v>
      </c>
      <c r="Y58" s="3"/>
      <c r="Z58" s="7">
        <f t="shared" si="15"/>
        <v>0</v>
      </c>
    </row>
    <row r="59" spans="1:26" s="70" customFormat="1" ht="15" hidden="1" customHeight="1" outlineLevel="2" x14ac:dyDescent="0.25">
      <c r="A59" s="25"/>
      <c r="B59" s="12" t="str">
        <f>CONCATENATE("          ","6375"," - ","OUTSIDE REPAIRS &amp; MAINTENANCE")</f>
        <v xml:space="preserve">          6375 - OUTSIDE REPAIRS &amp; MAINTENANCE</v>
      </c>
      <c r="C59" s="12"/>
      <c r="D59" s="8">
        <v>41.89</v>
      </c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41.89</v>
      </c>
      <c r="M59" s="3"/>
      <c r="N59" s="7">
        <f t="shared" si="11"/>
        <v>0</v>
      </c>
      <c r="O59" s="12"/>
      <c r="P59" s="8">
        <v>11075.83</v>
      </c>
      <c r="Q59" s="3"/>
      <c r="R59" s="7">
        <f t="shared" si="12"/>
        <v>0</v>
      </c>
      <c r="S59" s="3"/>
      <c r="T59" s="8"/>
      <c r="U59" s="3"/>
      <c r="V59" s="7">
        <f t="shared" si="13"/>
        <v>0</v>
      </c>
      <c r="W59" s="3"/>
      <c r="X59" s="8">
        <f t="shared" si="14"/>
        <v>11075.83</v>
      </c>
      <c r="Y59" s="3"/>
      <c r="Z59" s="7">
        <f t="shared" si="15"/>
        <v>0</v>
      </c>
    </row>
    <row r="60" spans="1:26" s="69" customFormat="1" ht="15" customHeight="1" outlineLevel="1" collapsed="1" x14ac:dyDescent="0.25">
      <c r="A60" s="26"/>
      <c r="B60" s="14" t="str">
        <f>CONCATENATE("     ","Services                                          ")</f>
        <v xml:space="preserve">     Services                                          </v>
      </c>
      <c r="C60" s="14"/>
      <c r="D60" s="2">
        <f>SUM(OSRRefD22_10x_0)</f>
        <v>737.15</v>
      </c>
      <c r="E60" s="2"/>
      <c r="F60" s="6">
        <f t="shared" si="8"/>
        <v>0</v>
      </c>
      <c r="G60" s="2"/>
      <c r="H60" s="2">
        <f>SUM(OSRRefH22_10x_0)</f>
        <v>650</v>
      </c>
      <c r="I60" s="2"/>
      <c r="J60" s="6">
        <f t="shared" si="9"/>
        <v>0</v>
      </c>
      <c r="K60" s="2"/>
      <c r="L60" s="2">
        <f t="shared" si="10"/>
        <v>87.149999999999977</v>
      </c>
      <c r="M60" s="2"/>
      <c r="N60" s="6">
        <f t="shared" si="11"/>
        <v>0.13407692307692304</v>
      </c>
      <c r="O60" s="14"/>
      <c r="P60" s="2">
        <f>SUM(OSRRefP22_10x_0)</f>
        <v>11112.47</v>
      </c>
      <c r="Q60" s="2"/>
      <c r="R60" s="6">
        <f t="shared" si="12"/>
        <v>0</v>
      </c>
      <c r="S60" s="2"/>
      <c r="T60" s="2">
        <f>SUM(OSRRefT22_10x_0)</f>
        <v>8900</v>
      </c>
      <c r="U60" s="2"/>
      <c r="V60" s="6">
        <f t="shared" si="13"/>
        <v>0</v>
      </c>
      <c r="W60" s="2"/>
      <c r="X60" s="2">
        <f t="shared" si="14"/>
        <v>2212.4699999999993</v>
      </c>
      <c r="Y60" s="2"/>
      <c r="Z60" s="6">
        <f t="shared" si="15"/>
        <v>0.24859213483146059</v>
      </c>
    </row>
    <row r="61" spans="1:26" s="70" customFormat="1" ht="15" hidden="1" customHeight="1" outlineLevel="2" x14ac:dyDescent="0.25">
      <c r="A61" s="25"/>
      <c r="B61" s="12" t="str">
        <f>CONCATENATE("          ","6282"," - ","JANITORIAL/EXTERMINATOR EXPENS")</f>
        <v xml:space="preserve">          6282 - JANITORIAL/EXTERMINATOR EXPENS</v>
      </c>
      <c r="C61" s="12"/>
      <c r="D61" s="8">
        <v>737.15</v>
      </c>
      <c r="E61" s="3"/>
      <c r="F61" s="7">
        <f t="shared" si="8"/>
        <v>0</v>
      </c>
      <c r="G61" s="3"/>
      <c r="H61" s="8">
        <v>650</v>
      </c>
      <c r="I61" s="3"/>
      <c r="J61" s="7">
        <f t="shared" si="9"/>
        <v>0</v>
      </c>
      <c r="K61" s="3"/>
      <c r="L61" s="8">
        <f t="shared" si="10"/>
        <v>87.149999999999977</v>
      </c>
      <c r="M61" s="3"/>
      <c r="N61" s="7">
        <f t="shared" si="11"/>
        <v>0.13407692307692304</v>
      </c>
      <c r="O61" s="12"/>
      <c r="P61" s="8">
        <v>7438.15</v>
      </c>
      <c r="Q61" s="3"/>
      <c r="R61" s="7">
        <f t="shared" si="12"/>
        <v>0</v>
      </c>
      <c r="S61" s="3"/>
      <c r="T61" s="8">
        <v>7150</v>
      </c>
      <c r="U61" s="3"/>
      <c r="V61" s="7">
        <f t="shared" si="13"/>
        <v>0</v>
      </c>
      <c r="W61" s="3"/>
      <c r="X61" s="8">
        <f t="shared" si="14"/>
        <v>288.14999999999964</v>
      </c>
      <c r="Y61" s="3"/>
      <c r="Z61" s="7">
        <f t="shared" si="15"/>
        <v>4.0300699300699253E-2</v>
      </c>
    </row>
    <row r="62" spans="1:26" s="70" customFormat="1" ht="15" hidden="1" customHeight="1" outlineLevel="2" x14ac:dyDescent="0.25">
      <c r="A62" s="25"/>
      <c r="B62" s="12" t="str">
        <f>CONCATENATE("          ","6284"," - ","TRASH REMOVAL EXPENSE")</f>
        <v xml:space="preserve">          6284 - TRASH REMOVAL EXPENSE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/>
      <c r="Q62" s="3"/>
      <c r="R62" s="7">
        <f t="shared" si="12"/>
        <v>0</v>
      </c>
      <c r="S62" s="3"/>
      <c r="T62" s="8">
        <v>0</v>
      </c>
      <c r="U62" s="3"/>
      <c r="V62" s="7">
        <f t="shared" si="13"/>
        <v>0</v>
      </c>
      <c r="W62" s="3"/>
      <c r="X62" s="8">
        <f t="shared" si="14"/>
        <v>0</v>
      </c>
      <c r="Y62" s="3"/>
      <c r="Z62" s="7">
        <f t="shared" si="15"/>
        <v>0</v>
      </c>
    </row>
    <row r="63" spans="1:26" s="70" customFormat="1" ht="15" hidden="1" customHeight="1" outlineLevel="2" x14ac:dyDescent="0.25">
      <c r="A63" s="25"/>
      <c r="B63" s="12" t="str">
        <f>CONCATENATE("          ","6285"," - ","JANITORIAL SERVICES")</f>
        <v xml:space="preserve">          6285 - JANITORIAL SERVICES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>
        <v>3674.32</v>
      </c>
      <c r="Q63" s="3"/>
      <c r="R63" s="7">
        <f t="shared" si="12"/>
        <v>0</v>
      </c>
      <c r="S63" s="3"/>
      <c r="T63" s="8">
        <v>1750</v>
      </c>
      <c r="U63" s="3"/>
      <c r="V63" s="7">
        <f t="shared" si="13"/>
        <v>0</v>
      </c>
      <c r="W63" s="3"/>
      <c r="X63" s="8">
        <f t="shared" si="14"/>
        <v>1924.3200000000002</v>
      </c>
      <c r="Y63" s="3"/>
      <c r="Z63" s="7">
        <f t="shared" si="15"/>
        <v>1.0996114285714287</v>
      </c>
    </row>
    <row r="64" spans="1:26" s="69" customFormat="1" ht="15" customHeight="1" outlineLevel="1" collapsed="1" x14ac:dyDescent="0.25">
      <c r="A64" s="26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SUM(OSRRefD22_11x_0)</f>
        <v>0</v>
      </c>
      <c r="E64" s="2"/>
      <c r="F64" s="6">
        <f t="shared" si="8"/>
        <v>0</v>
      </c>
      <c r="G64" s="2"/>
      <c r="H64" s="2">
        <f>SUM(OSRRefH22_11x_0)</f>
        <v>0</v>
      </c>
      <c r="I64" s="2"/>
      <c r="J64" s="6">
        <f t="shared" si="9"/>
        <v>0</v>
      </c>
      <c r="K64" s="2"/>
      <c r="L64" s="2">
        <f t="shared" si="10"/>
        <v>0</v>
      </c>
      <c r="M64" s="2"/>
      <c r="N64" s="6">
        <f t="shared" si="11"/>
        <v>0</v>
      </c>
      <c r="O64" s="14"/>
      <c r="P64" s="2">
        <f>SUM(OSRRefP22_11x_0)</f>
        <v>119.2</v>
      </c>
      <c r="Q64" s="2"/>
      <c r="R64" s="6">
        <f t="shared" si="12"/>
        <v>0</v>
      </c>
      <c r="S64" s="2"/>
      <c r="T64" s="2">
        <f>SUM(OSRRefT22_11x_0)</f>
        <v>0</v>
      </c>
      <c r="U64" s="2"/>
      <c r="V64" s="6">
        <f t="shared" si="13"/>
        <v>0</v>
      </c>
      <c r="W64" s="2"/>
      <c r="X64" s="2">
        <f t="shared" si="14"/>
        <v>119.2</v>
      </c>
      <c r="Y64" s="2"/>
      <c r="Z64" s="6">
        <f t="shared" si="15"/>
        <v>0</v>
      </c>
    </row>
    <row r="65" spans="1:26" s="70" customFormat="1" ht="15" hidden="1" customHeight="1" outlineLevel="2" x14ac:dyDescent="0.25">
      <c r="A65" s="25"/>
      <c r="B65" s="12" t="str">
        <f>CONCATENATE("          ","6275"," - ","SUBSCRIPTIONS")</f>
        <v xml:space="preserve">          6275 - SUBSCRIPTIONS</v>
      </c>
      <c r="C65" s="12"/>
      <c r="D65" s="8"/>
      <c r="E65" s="3"/>
      <c r="F65" s="7">
        <f t="shared" si="8"/>
        <v>0</v>
      </c>
      <c r="G65" s="3"/>
      <c r="H65" s="8"/>
      <c r="I65" s="3"/>
      <c r="J65" s="7">
        <f t="shared" si="9"/>
        <v>0</v>
      </c>
      <c r="K65" s="3"/>
      <c r="L65" s="8">
        <f t="shared" si="10"/>
        <v>0</v>
      </c>
      <c r="M65" s="3"/>
      <c r="N65" s="7">
        <f t="shared" si="11"/>
        <v>0</v>
      </c>
      <c r="O65" s="12"/>
      <c r="P65" s="8">
        <v>119.2</v>
      </c>
      <c r="Q65" s="3"/>
      <c r="R65" s="7">
        <f t="shared" si="12"/>
        <v>0</v>
      </c>
      <c r="S65" s="3"/>
      <c r="T65" s="8"/>
      <c r="U65" s="3"/>
      <c r="V65" s="7">
        <f t="shared" si="13"/>
        <v>0</v>
      </c>
      <c r="W65" s="3"/>
      <c r="X65" s="8">
        <f t="shared" si="14"/>
        <v>119.2</v>
      </c>
      <c r="Y65" s="3"/>
      <c r="Z65" s="7">
        <f t="shared" si="15"/>
        <v>0</v>
      </c>
    </row>
    <row r="66" spans="1:26" s="69" customFormat="1" ht="15" customHeight="1" outlineLevel="1" collapsed="1" x14ac:dyDescent="0.25">
      <c r="A66" s="26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SUM(OSRRefD22_12x_0)</f>
        <v>0</v>
      </c>
      <c r="E66" s="2"/>
      <c r="F66" s="6">
        <f t="shared" si="8"/>
        <v>0</v>
      </c>
      <c r="G66" s="2"/>
      <c r="H66" s="2">
        <f>SUM(OSRRefH22_12x_0)</f>
        <v>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SUM(OSRRefP22_12x_0)</f>
        <v>535.64</v>
      </c>
      <c r="Q66" s="2"/>
      <c r="R66" s="6">
        <f t="shared" si="12"/>
        <v>0</v>
      </c>
      <c r="S66" s="2"/>
      <c r="T66" s="2">
        <f>SUM(OSRRefT22_12x_0)</f>
        <v>0</v>
      </c>
      <c r="U66" s="2"/>
      <c r="V66" s="6">
        <f t="shared" si="13"/>
        <v>0</v>
      </c>
      <c r="W66" s="2"/>
      <c r="X66" s="2">
        <f t="shared" si="14"/>
        <v>535.64</v>
      </c>
      <c r="Y66" s="2"/>
      <c r="Z66" s="6">
        <f t="shared" si="15"/>
        <v>0</v>
      </c>
    </row>
    <row r="67" spans="1:26" s="70" customFormat="1" ht="15" hidden="1" customHeight="1" outlineLevel="2" x14ac:dyDescent="0.25">
      <c r="A67" s="25"/>
      <c r="B67" s="12" t="str">
        <f>CONCATENATE("          ","6235"," - ","COVID-19 EXPENSES")</f>
        <v xml:space="preserve">          6235 - COVID-19 EXPENSES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>
        <v>318.42</v>
      </c>
      <c r="Q67" s="3"/>
      <c r="R67" s="7">
        <f t="shared" si="12"/>
        <v>0</v>
      </c>
      <c r="S67" s="3"/>
      <c r="T67" s="8"/>
      <c r="U67" s="3"/>
      <c r="V67" s="7">
        <f t="shared" si="13"/>
        <v>0</v>
      </c>
      <c r="W67" s="3"/>
      <c r="X67" s="8">
        <f t="shared" si="14"/>
        <v>318.42</v>
      </c>
      <c r="Y67" s="3"/>
      <c r="Z67" s="7">
        <f t="shared" si="15"/>
        <v>0</v>
      </c>
    </row>
    <row r="68" spans="1:26" s="70" customFormat="1" ht="15" hidden="1" customHeight="1" outlineLevel="2" x14ac:dyDescent="0.25">
      <c r="A68" s="25"/>
      <c r="B68" s="12" t="str">
        <f>CONCATENATE("          ","6241"," - ","OFFICE EXPENSE")</f>
        <v xml:space="preserve">          6241 - OFFICE EXPENSE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217.22</v>
      </c>
      <c r="Q68" s="3"/>
      <c r="R68" s="7">
        <f t="shared" si="12"/>
        <v>0</v>
      </c>
      <c r="S68" s="3"/>
      <c r="T68" s="8"/>
      <c r="U68" s="3"/>
      <c r="V68" s="7">
        <f t="shared" si="13"/>
        <v>0</v>
      </c>
      <c r="W68" s="3"/>
      <c r="X68" s="8">
        <f t="shared" si="14"/>
        <v>217.22</v>
      </c>
      <c r="Y68" s="3"/>
      <c r="Z68" s="7">
        <f t="shared" si="15"/>
        <v>0</v>
      </c>
    </row>
    <row r="69" spans="1:26" s="69" customFormat="1" ht="15" customHeight="1" outlineLevel="1" collapsed="1" x14ac:dyDescent="0.25">
      <c r="A69" s="26"/>
      <c r="B69" s="14" t="str">
        <f>CONCATENATE("     ","Telephone/Data Lines                              ")</f>
        <v xml:space="preserve">     Telephone/Data Lines                              </v>
      </c>
      <c r="C69" s="14"/>
      <c r="D69" s="2">
        <f>SUM(OSRRefD22_13x_0)</f>
        <v>189.25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189.25</v>
      </c>
      <c r="M69" s="2"/>
      <c r="N69" s="6">
        <f t="shared" si="11"/>
        <v>0</v>
      </c>
      <c r="O69" s="14"/>
      <c r="P69" s="2">
        <f>SUM(OSRRefP22_13x_0)</f>
        <v>2255.66</v>
      </c>
      <c r="Q69" s="2"/>
      <c r="R69" s="6">
        <f t="shared" si="12"/>
        <v>0</v>
      </c>
      <c r="S69" s="2"/>
      <c r="T69" s="2">
        <f>SUM(OSRRefT22_13x_0)</f>
        <v>0</v>
      </c>
      <c r="U69" s="2"/>
      <c r="V69" s="6">
        <f t="shared" si="13"/>
        <v>0</v>
      </c>
      <c r="W69" s="2"/>
      <c r="X69" s="2">
        <f t="shared" si="14"/>
        <v>2255.66</v>
      </c>
      <c r="Y69" s="2"/>
      <c r="Z69" s="6">
        <f t="shared" si="15"/>
        <v>0</v>
      </c>
    </row>
    <row r="70" spans="1:26" s="70" customFormat="1" ht="15" hidden="1" customHeight="1" outlineLevel="2" x14ac:dyDescent="0.25">
      <c r="A70" s="25"/>
      <c r="B70" s="12" t="str">
        <f>CONCATENATE("          ","6309"," - ","TELEPHONE")</f>
        <v xml:space="preserve">          6309 - TELEPHONE</v>
      </c>
      <c r="C70" s="12"/>
      <c r="D70" s="8">
        <v>189.25</v>
      </c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189.25</v>
      </c>
      <c r="M70" s="3"/>
      <c r="N70" s="7">
        <f t="shared" si="11"/>
        <v>0</v>
      </c>
      <c r="O70" s="12"/>
      <c r="P70" s="8">
        <v>2255.66</v>
      </c>
      <c r="Q70" s="3"/>
      <c r="R70" s="7">
        <f t="shared" si="12"/>
        <v>0</v>
      </c>
      <c r="S70" s="3"/>
      <c r="T70" s="8"/>
      <c r="U70" s="3"/>
      <c r="V70" s="7">
        <f t="shared" si="13"/>
        <v>0</v>
      </c>
      <c r="W70" s="3"/>
      <c r="X70" s="8">
        <f t="shared" si="14"/>
        <v>2255.66</v>
      </c>
      <c r="Y70" s="3"/>
      <c r="Z70" s="7">
        <f t="shared" si="15"/>
        <v>0</v>
      </c>
    </row>
    <row r="71" spans="1:26" s="69" customFormat="1" ht="15" customHeight="1" outlineLevel="1" collapsed="1" x14ac:dyDescent="0.25">
      <c r="A71" s="26"/>
      <c r="B71" s="14" t="str">
        <f>CONCATENATE("     ","Training                                          ")</f>
        <v xml:space="preserve">     Training                                          </v>
      </c>
      <c r="C71" s="14"/>
      <c r="D71" s="2">
        <f>SUM(OSRRefD22_14x_0)</f>
        <v>0</v>
      </c>
      <c r="E71" s="2"/>
      <c r="F71" s="6">
        <f t="shared" si="8"/>
        <v>0</v>
      </c>
      <c r="G71" s="2"/>
      <c r="H71" s="2">
        <f>SUM(OSRRefH22_14x_0)</f>
        <v>0</v>
      </c>
      <c r="I71" s="2"/>
      <c r="J71" s="6">
        <f t="shared" si="9"/>
        <v>0</v>
      </c>
      <c r="K71" s="2"/>
      <c r="L71" s="2">
        <f t="shared" si="10"/>
        <v>0</v>
      </c>
      <c r="M71" s="2"/>
      <c r="N71" s="6">
        <f t="shared" si="11"/>
        <v>0</v>
      </c>
      <c r="O71" s="14"/>
      <c r="P71" s="2">
        <f>SUM(OSRRefP22_14x_0)</f>
        <v>0</v>
      </c>
      <c r="Q71" s="2"/>
      <c r="R71" s="6">
        <f t="shared" si="12"/>
        <v>0</v>
      </c>
      <c r="S71" s="2"/>
      <c r="T71" s="2">
        <f>SUM(OSRRefT22_14x_0)</f>
        <v>3600</v>
      </c>
      <c r="U71" s="2"/>
      <c r="V71" s="6">
        <f t="shared" si="13"/>
        <v>0</v>
      </c>
      <c r="W71" s="2"/>
      <c r="X71" s="2">
        <f t="shared" si="14"/>
        <v>-3600</v>
      </c>
      <c r="Y71" s="2"/>
      <c r="Z71" s="6">
        <f t="shared" si="15"/>
        <v>-1</v>
      </c>
    </row>
    <row r="72" spans="1:26" s="70" customFormat="1" ht="15" hidden="1" customHeight="1" outlineLevel="2" x14ac:dyDescent="0.25">
      <c r="A72" s="25"/>
      <c r="B72" s="12" t="str">
        <f>CONCATENATE("          ","6376"," - ","TRAINING")</f>
        <v xml:space="preserve">          6376 - TRAINING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/>
      <c r="Q72" s="3"/>
      <c r="R72" s="7">
        <f t="shared" si="12"/>
        <v>0</v>
      </c>
      <c r="S72" s="3"/>
      <c r="T72" s="8">
        <v>3600</v>
      </c>
      <c r="U72" s="3"/>
      <c r="V72" s="7">
        <f t="shared" si="13"/>
        <v>0</v>
      </c>
      <c r="W72" s="3"/>
      <c r="X72" s="8">
        <f t="shared" si="14"/>
        <v>-3600</v>
      </c>
      <c r="Y72" s="3"/>
      <c r="Z72" s="7">
        <f t="shared" si="15"/>
        <v>-1</v>
      </c>
    </row>
    <row r="73" spans="1:26" s="69" customFormat="1" ht="15" customHeight="1" outlineLevel="1" collapsed="1" x14ac:dyDescent="0.25">
      <c r="A73" s="26"/>
      <c r="B73" s="14" t="str">
        <f>CONCATENATE("     ","Travel                                            ")</f>
        <v xml:space="preserve">     Travel                                            </v>
      </c>
      <c r="C73" s="14"/>
      <c r="D73" s="2">
        <f>SUM(OSRRefD22_15x_0)</f>
        <v>0</v>
      </c>
      <c r="E73" s="2"/>
      <c r="F73" s="6">
        <f t="shared" si="8"/>
        <v>0</v>
      </c>
      <c r="G73" s="2"/>
      <c r="H73" s="2">
        <f>SUM(OSRRefH22_15x_0)</f>
        <v>0</v>
      </c>
      <c r="I73" s="2"/>
      <c r="J73" s="6">
        <f t="shared" si="9"/>
        <v>0</v>
      </c>
      <c r="K73" s="2"/>
      <c r="L73" s="2">
        <f t="shared" si="10"/>
        <v>0</v>
      </c>
      <c r="M73" s="2"/>
      <c r="N73" s="6">
        <f t="shared" si="11"/>
        <v>0</v>
      </c>
      <c r="O73" s="14"/>
      <c r="P73" s="2">
        <f>SUM(OSRRefP22_15x_0)</f>
        <v>141.24</v>
      </c>
      <c r="Q73" s="2"/>
      <c r="R73" s="6">
        <f t="shared" si="12"/>
        <v>0</v>
      </c>
      <c r="S73" s="2"/>
      <c r="T73" s="2">
        <f>SUM(OSRRefT22_15x_0)</f>
        <v>0</v>
      </c>
      <c r="U73" s="2"/>
      <c r="V73" s="6">
        <f t="shared" si="13"/>
        <v>0</v>
      </c>
      <c r="W73" s="2"/>
      <c r="X73" s="2">
        <f t="shared" si="14"/>
        <v>141.24</v>
      </c>
      <c r="Y73" s="2"/>
      <c r="Z73" s="6">
        <f t="shared" si="15"/>
        <v>0</v>
      </c>
    </row>
    <row r="74" spans="1:26" s="70" customFormat="1" ht="15" hidden="1" customHeight="1" outlineLevel="2" x14ac:dyDescent="0.25">
      <c r="A74" s="25"/>
      <c r="B74" s="12" t="str">
        <f>CONCATENATE("          ","6292"," - ","TRAVEL/CONFERENCE")</f>
        <v xml:space="preserve">          6292 - TRAVEL/CONFERENCE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>
        <v>18.59</v>
      </c>
      <c r="Q74" s="3"/>
      <c r="R74" s="7">
        <f t="shared" si="12"/>
        <v>0</v>
      </c>
      <c r="S74" s="3"/>
      <c r="T74" s="8"/>
      <c r="U74" s="3"/>
      <c r="V74" s="7">
        <f t="shared" si="13"/>
        <v>0</v>
      </c>
      <c r="W74" s="3"/>
      <c r="X74" s="8">
        <f t="shared" si="14"/>
        <v>18.59</v>
      </c>
      <c r="Y74" s="3"/>
      <c r="Z74" s="7">
        <f t="shared" si="15"/>
        <v>0</v>
      </c>
    </row>
    <row r="75" spans="1:26" s="70" customFormat="1" ht="15" hidden="1" customHeight="1" outlineLevel="2" x14ac:dyDescent="0.25">
      <c r="A75" s="25"/>
      <c r="B75" s="12" t="str">
        <f>CONCATENATE("          ","6298"," - ","VEHICLE MILEAGE")</f>
        <v xml:space="preserve">          6298 - VEHICLE MILEAGE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>
        <v>122.65</v>
      </c>
      <c r="Q75" s="3"/>
      <c r="R75" s="7">
        <f t="shared" si="12"/>
        <v>0</v>
      </c>
      <c r="S75" s="3"/>
      <c r="T75" s="8"/>
      <c r="U75" s="3"/>
      <c r="V75" s="7">
        <f t="shared" si="13"/>
        <v>0</v>
      </c>
      <c r="W75" s="3"/>
      <c r="X75" s="8">
        <f t="shared" si="14"/>
        <v>122.65</v>
      </c>
      <c r="Y75" s="3"/>
      <c r="Z75" s="7">
        <f t="shared" si="15"/>
        <v>0</v>
      </c>
    </row>
    <row r="76" spans="1:26" s="69" customFormat="1" ht="15" customHeight="1" outlineLevel="1" collapsed="1" x14ac:dyDescent="0.25">
      <c r="A76" s="26"/>
      <c r="B76" s="14" t="str">
        <f>CONCATENATE("     ","Utilities                                         ")</f>
        <v xml:space="preserve">     Utilities                                         </v>
      </c>
      <c r="C76" s="14"/>
      <c r="D76" s="2">
        <f>SUM(OSRRefD22_16x_0)</f>
        <v>22843.94</v>
      </c>
      <c r="E76" s="2"/>
      <c r="F76" s="6">
        <f t="shared" si="8"/>
        <v>0</v>
      </c>
      <c r="G76" s="2"/>
      <c r="H76" s="2">
        <f>SUM(OSRRefH22_16x_0)</f>
        <v>5550</v>
      </c>
      <c r="I76" s="2"/>
      <c r="J76" s="6">
        <f t="shared" si="9"/>
        <v>0</v>
      </c>
      <c r="K76" s="2"/>
      <c r="L76" s="2">
        <f t="shared" si="10"/>
        <v>17293.939999999999</v>
      </c>
      <c r="M76" s="2"/>
      <c r="N76" s="6">
        <f t="shared" si="11"/>
        <v>3.1160252252252252</v>
      </c>
      <c r="O76" s="14"/>
      <c r="P76" s="2">
        <f>SUM(OSRRefP22_16x_0)</f>
        <v>78343.94</v>
      </c>
      <c r="Q76" s="2"/>
      <c r="R76" s="6">
        <f t="shared" si="12"/>
        <v>0</v>
      </c>
      <c r="S76" s="2"/>
      <c r="T76" s="2">
        <f>SUM(OSRRefT22_16x_0)</f>
        <v>61050</v>
      </c>
      <c r="U76" s="2"/>
      <c r="V76" s="6">
        <f t="shared" si="13"/>
        <v>0</v>
      </c>
      <c r="W76" s="2"/>
      <c r="X76" s="2">
        <f t="shared" si="14"/>
        <v>17293.940000000002</v>
      </c>
      <c r="Y76" s="2"/>
      <c r="Z76" s="6">
        <f t="shared" si="15"/>
        <v>0.28327502047502051</v>
      </c>
    </row>
    <row r="77" spans="1:26" s="70" customFormat="1" ht="15" hidden="1" customHeight="1" outlineLevel="2" x14ac:dyDescent="0.25">
      <c r="A77" s="25"/>
      <c r="B77" s="12" t="str">
        <f>CONCATENATE("          ","6274"," - ","UTILITIES")</f>
        <v xml:space="preserve">          6274 - UTILITIES</v>
      </c>
      <c r="C77" s="12"/>
      <c r="D77" s="8">
        <v>22843.94</v>
      </c>
      <c r="E77" s="3"/>
      <c r="F77" s="7">
        <f t="shared" si="8"/>
        <v>0</v>
      </c>
      <c r="G77" s="3"/>
      <c r="H77" s="8">
        <v>5550</v>
      </c>
      <c r="I77" s="3"/>
      <c r="J77" s="7">
        <f t="shared" si="9"/>
        <v>0</v>
      </c>
      <c r="K77" s="3"/>
      <c r="L77" s="8">
        <f t="shared" si="10"/>
        <v>17293.939999999999</v>
      </c>
      <c r="M77" s="3"/>
      <c r="N77" s="7">
        <f t="shared" si="11"/>
        <v>3.1160252252252252</v>
      </c>
      <c r="O77" s="12"/>
      <c r="P77" s="8">
        <v>78343.94</v>
      </c>
      <c r="Q77" s="3"/>
      <c r="R77" s="7">
        <f t="shared" si="12"/>
        <v>0</v>
      </c>
      <c r="S77" s="3"/>
      <c r="T77" s="8">
        <v>61050</v>
      </c>
      <c r="U77" s="3"/>
      <c r="V77" s="7">
        <f t="shared" si="13"/>
        <v>0</v>
      </c>
      <c r="W77" s="3"/>
      <c r="X77" s="8">
        <f t="shared" si="14"/>
        <v>17293.940000000002</v>
      </c>
      <c r="Y77" s="3"/>
      <c r="Z77" s="7">
        <f t="shared" si="15"/>
        <v>0.28327502047502051</v>
      </c>
    </row>
    <row r="78" spans="1:26" s="65" customFormat="1" ht="15" customHeight="1" x14ac:dyDescent="0.25">
      <c r="A78" s="35"/>
      <c r="B78" s="35"/>
      <c r="C78" s="35"/>
      <c r="D78" s="2"/>
      <c r="E78" s="2"/>
      <c r="F78" s="6"/>
      <c r="G78" s="2"/>
      <c r="H78" s="2"/>
      <c r="I78" s="2"/>
      <c r="J78" s="6"/>
      <c r="K78" s="2"/>
      <c r="L78" s="2"/>
      <c r="M78" s="2"/>
      <c r="N78" s="6"/>
      <c r="O78" s="35"/>
      <c r="P78" s="2"/>
      <c r="Q78" s="2"/>
      <c r="R78" s="6"/>
      <c r="S78" s="2"/>
      <c r="T78" s="2"/>
      <c r="U78" s="2"/>
      <c r="V78" s="6"/>
      <c r="W78" s="2"/>
      <c r="X78" s="2"/>
      <c r="Y78" s="2"/>
      <c r="Z78" s="6"/>
    </row>
    <row r="79" spans="1:26" s="63" customFormat="1" ht="15" customHeight="1" collapsed="1" x14ac:dyDescent="0.25">
      <c r="A79" s="11"/>
      <c r="B79" s="27" t="s">
        <v>291</v>
      </c>
      <c r="C79" s="11"/>
      <c r="D79" s="5">
        <f>SUM(OSRRefD25x_0)</f>
        <v>11951</v>
      </c>
      <c r="E79" s="5"/>
      <c r="F79" s="13">
        <f>IF(D$12=0,0,D79/D$12)</f>
        <v>0</v>
      </c>
      <c r="G79" s="5"/>
      <c r="H79" s="5">
        <f>SUM(OSRRefH25x_0)</f>
        <v>0</v>
      </c>
      <c r="I79" s="5"/>
      <c r="J79" s="13">
        <f>IF(H$12=0,0,H79/H$12)</f>
        <v>0</v>
      </c>
      <c r="K79" s="5"/>
      <c r="L79" s="5">
        <f>+D79-H79</f>
        <v>11951</v>
      </c>
      <c r="M79" s="5"/>
      <c r="N79" s="13">
        <f>IF(H79=0,0,L79/H79)</f>
        <v>0</v>
      </c>
      <c r="O79" s="11"/>
      <c r="P79" s="5">
        <f>SUM(OSRRefP25x_0)</f>
        <v>46107.61</v>
      </c>
      <c r="Q79" s="5"/>
      <c r="R79" s="13">
        <f>IF(P$12=0,0,P79/P$12)</f>
        <v>0</v>
      </c>
      <c r="S79" s="5"/>
      <c r="T79" s="5">
        <f>SUM(OSRRefT25x_0)</f>
        <v>0</v>
      </c>
      <c r="U79" s="5"/>
      <c r="V79" s="13">
        <f>IF(T$12=0,0,T79/T$12)</f>
        <v>0</v>
      </c>
      <c r="W79" s="5"/>
      <c r="X79" s="5">
        <f>+P79-T79</f>
        <v>46107.61</v>
      </c>
      <c r="Y79" s="5"/>
      <c r="Z79" s="13">
        <f>IF(T79=0,0,X79/T79)</f>
        <v>0</v>
      </c>
    </row>
    <row r="80" spans="1:26" s="70" customFormat="1" ht="15" hidden="1" customHeight="1" outlineLevel="1" x14ac:dyDescent="0.25">
      <c r="A80" s="42"/>
      <c r="B80" s="12" t="str">
        <f>CONCATENATE("          ","9150"," - ","MISC. INCOME")</f>
        <v xml:space="preserve">          9150 - MISC. INCOME</v>
      </c>
      <c r="C80" s="12"/>
      <c r="D80" s="3">
        <f>--11951</f>
        <v>11951</v>
      </c>
      <c r="E80" s="3"/>
      <c r="F80" s="20">
        <f>IF(D$12=0,0,D80/D$12)</f>
        <v>0</v>
      </c>
      <c r="G80" s="3"/>
      <c r="H80" s="3"/>
      <c r="I80" s="3"/>
      <c r="J80" s="20">
        <f>IF(H$12=0,0,H80/H$12)</f>
        <v>0</v>
      </c>
      <c r="K80" s="3"/>
      <c r="L80" s="3">
        <f>+D80-H80</f>
        <v>11951</v>
      </c>
      <c r="M80" s="3"/>
      <c r="N80" s="20">
        <f>IF(H80=0,0,L80/H80)</f>
        <v>0</v>
      </c>
      <c r="O80" s="12"/>
      <c r="P80" s="3">
        <f>--46107.61</f>
        <v>46107.61</v>
      </c>
      <c r="Q80" s="3"/>
      <c r="R80" s="20">
        <f>IF(P$12=0,0,P80/P$12)</f>
        <v>0</v>
      </c>
      <c r="S80" s="3"/>
      <c r="T80" s="3"/>
      <c r="U80" s="3"/>
      <c r="V80" s="20">
        <f>IF(T$12=0,0,T80/T$12)</f>
        <v>0</v>
      </c>
      <c r="W80" s="3"/>
      <c r="X80" s="3">
        <f>+P80-T80</f>
        <v>46107.61</v>
      </c>
      <c r="Y80" s="3"/>
      <c r="Z80" s="20">
        <f>IF(T80=0,0,X80/T80)</f>
        <v>0</v>
      </c>
    </row>
    <row r="81" spans="1:26" ht="15" customHeight="1" x14ac:dyDescent="0.25">
      <c r="A81" s="10"/>
      <c r="B81" s="11"/>
      <c r="C81" s="11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O81" s="11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25">
      <c r="A82" s="11"/>
      <c r="B82" s="28" t="s">
        <v>292</v>
      </c>
      <c r="C82" s="28"/>
      <c r="D82" s="22">
        <f>+D16-D18+D79</f>
        <v>-51926.020000000004</v>
      </c>
      <c r="E82" s="15"/>
      <c r="F82" s="21">
        <f>IF(D$12=0,0,D82/D$12)</f>
        <v>0</v>
      </c>
      <c r="G82" s="15"/>
      <c r="H82" s="22">
        <f>+H16-H18+H79</f>
        <v>-41372.132430769241</v>
      </c>
      <c r="I82" s="15"/>
      <c r="J82" s="21">
        <f>IF(H$12=0,0,H82/H$12)</f>
        <v>0</v>
      </c>
      <c r="K82" s="16"/>
      <c r="L82" s="22">
        <f>+D82-H82</f>
        <v>-10553.887569230763</v>
      </c>
      <c r="M82" s="16"/>
      <c r="N82" s="21">
        <f>IF(H82=0,0,L82/H82)</f>
        <v>0.25509653356377726</v>
      </c>
      <c r="O82" s="27"/>
      <c r="P82" s="22">
        <f>+P16-P18+P79</f>
        <v>-521843.50999999989</v>
      </c>
      <c r="Q82" s="15"/>
      <c r="R82" s="21">
        <f>IF(P$12=0,0,P82/P$12)</f>
        <v>0</v>
      </c>
      <c r="S82" s="15"/>
      <c r="T82" s="22">
        <f>+T16-T18+T79</f>
        <v>-495385.58916923049</v>
      </c>
      <c r="U82" s="15"/>
      <c r="V82" s="21">
        <f>IF(T$12=0,0,T82/T$12)</f>
        <v>0</v>
      </c>
      <c r="W82" s="16"/>
      <c r="X82" s="22">
        <f>+P82-T82</f>
        <v>-26457.920830769406</v>
      </c>
      <c r="Y82" s="16"/>
      <c r="Z82" s="21">
        <f>IF(T82=0,0,X82/T82)</f>
        <v>5.3408741411189939E-2</v>
      </c>
    </row>
    <row r="83" spans="1:26" ht="15" customHeight="1" x14ac:dyDescent="0.25">
      <c r="A83" s="10"/>
      <c r="B83" s="11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25">
      <c r="A84" s="49"/>
      <c r="B84" s="11" t="s">
        <v>293</v>
      </c>
      <c r="C84" s="11"/>
      <c r="D84" s="5"/>
      <c r="E84" s="5"/>
      <c r="F84" s="13">
        <f>IF(D$12=0,0,D84/D$12)</f>
        <v>0</v>
      </c>
      <c r="G84" s="5"/>
      <c r="H84" s="5"/>
      <c r="I84" s="5"/>
      <c r="J84" s="13">
        <f>IF(H$12=0,0,H84/H$12)</f>
        <v>0</v>
      </c>
      <c r="K84" s="5"/>
      <c r="L84" s="5">
        <f>+D84-H84</f>
        <v>0</v>
      </c>
      <c r="M84" s="5"/>
      <c r="N84" s="13">
        <f>IF(H84=0,0,L84/H84)</f>
        <v>0</v>
      </c>
      <c r="O84" s="11"/>
      <c r="P84" s="5"/>
      <c r="Q84" s="5"/>
      <c r="R84" s="13">
        <f>IF(P$12=0,0,P84/P$12)</f>
        <v>0</v>
      </c>
      <c r="S84" s="5"/>
      <c r="T84" s="5"/>
      <c r="U84" s="5"/>
      <c r="V84" s="13">
        <f>IF(T$12=0,0,T84/T$12)</f>
        <v>0</v>
      </c>
      <c r="W84" s="5"/>
      <c r="X84" s="5">
        <f>+P84-T84</f>
        <v>0</v>
      </c>
      <c r="Y84" s="5"/>
      <c r="Z84" s="13">
        <f>IF(T84=0,0,X84/T84)</f>
        <v>0</v>
      </c>
    </row>
    <row r="85" spans="1:26" ht="15" customHeight="1" x14ac:dyDescent="0.25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3" customFormat="1" ht="15" customHeight="1" x14ac:dyDescent="0.25">
      <c r="A86" s="11"/>
      <c r="B86" s="28" t="s">
        <v>294</v>
      </c>
      <c r="C86" s="28"/>
      <c r="D86" s="34">
        <f>+D82-D84</f>
        <v>-51926.020000000004</v>
      </c>
      <c r="E86" s="15"/>
      <c r="F86" s="32">
        <f>IF(D$12=0,0,D86/D$12)</f>
        <v>0</v>
      </c>
      <c r="G86" s="15"/>
      <c r="H86" s="34">
        <f>+H82-H84</f>
        <v>-41372.132430769241</v>
      </c>
      <c r="I86" s="15"/>
      <c r="J86" s="32">
        <f>IF(H$12=0,0,H86/H$12)</f>
        <v>0</v>
      </c>
      <c r="K86" s="16"/>
      <c r="L86" s="34">
        <f>D86-H86</f>
        <v>-10553.887569230763</v>
      </c>
      <c r="M86" s="16"/>
      <c r="N86" s="32">
        <f>IF(H86=0,0,L86/H86)</f>
        <v>0.25509653356377726</v>
      </c>
      <c r="O86" s="27"/>
      <c r="P86" s="34">
        <f>+P82-P84</f>
        <v>-521843.50999999989</v>
      </c>
      <c r="Q86" s="15"/>
      <c r="R86" s="32">
        <f>IF(P$12=0,0,P86/P$12)</f>
        <v>0</v>
      </c>
      <c r="S86" s="15"/>
      <c r="T86" s="34">
        <f>+T82-T84</f>
        <v>-495385.58916923049</v>
      </c>
      <c r="U86" s="15"/>
      <c r="V86" s="32">
        <f>IF(T$12=0,0,T86/T$12)</f>
        <v>0</v>
      </c>
      <c r="W86" s="16"/>
      <c r="X86" s="34">
        <f>P86-T86</f>
        <v>-26457.920830769406</v>
      </c>
      <c r="Y86" s="16"/>
      <c r="Z86" s="32">
        <f>IF(T86=0,0,X86/T86)</f>
        <v>5.3408741411189939E-2</v>
      </c>
    </row>
    <row r="87" spans="1:26" ht="15" customHeight="1" x14ac:dyDescent="0.25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ht="15" customHeight="1" x14ac:dyDescent="0.25">
      <c r="A88" s="10"/>
      <c r="B88" s="10"/>
      <c r="C88" s="10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3" customFormat="1" ht="15" customHeight="1" x14ac:dyDescent="0.25">
      <c r="A89" s="11"/>
      <c r="B89" s="28" t="s">
        <v>297</v>
      </c>
      <c r="C89" s="28"/>
      <c r="D89" s="30">
        <f>SUM(D86:D88)</f>
        <v>-51926.020000000004</v>
      </c>
      <c r="E89" s="15"/>
      <c r="F89" s="33">
        <f>IF(D$12=0,0,D89/D$12)</f>
        <v>0</v>
      </c>
      <c r="G89" s="15"/>
      <c r="H89" s="30">
        <f>SUM(H86:H88)</f>
        <v>-41372.132430769241</v>
      </c>
      <c r="I89" s="15"/>
      <c r="J89" s="33">
        <f>IF(H$12=0,0,H89/H$12)</f>
        <v>0</v>
      </c>
      <c r="K89" s="16"/>
      <c r="L89" s="30">
        <f>+D89-H89</f>
        <v>-10553.887569230763</v>
      </c>
      <c r="M89" s="16"/>
      <c r="N89" s="33">
        <f>IF(H89=0,0,L89/H89)</f>
        <v>0.25509653356377726</v>
      </c>
      <c r="O89" s="27"/>
      <c r="P89" s="30">
        <f>SUM(P86:P88)</f>
        <v>-521843.50999999989</v>
      </c>
      <c r="Q89" s="15"/>
      <c r="R89" s="33">
        <f>IF(P$12=0,0,P89/P$12)</f>
        <v>0</v>
      </c>
      <c r="S89" s="15"/>
      <c r="T89" s="30">
        <f>SUM(T86:T88)</f>
        <v>-495385.58916923049</v>
      </c>
      <c r="U89" s="15"/>
      <c r="V89" s="33">
        <f>IF(T$12=0,0,T89/T$12)</f>
        <v>0</v>
      </c>
      <c r="W89" s="16"/>
      <c r="X89" s="30">
        <f>+P89-T89</f>
        <v>-26457.920830769406</v>
      </c>
      <c r="Y89" s="16"/>
      <c r="Z89" s="33">
        <f>IF(T89=0,0,X89/T89)</f>
        <v>5.3408741411189939E-2</v>
      </c>
    </row>
    <row r="90" spans="1:26" ht="15" customHeight="1" x14ac:dyDescent="0.25">
      <c r="A90" s="10"/>
      <c r="C90" s="10"/>
      <c r="D90" s="18"/>
      <c r="E90" s="18"/>
      <c r="G90" s="18"/>
      <c r="H90" s="18"/>
      <c r="I90" s="18"/>
      <c r="J90" s="40"/>
      <c r="K90" s="18"/>
      <c r="L90" s="18"/>
      <c r="M90" s="18"/>
      <c r="P90" s="18"/>
      <c r="Q90" s="18"/>
      <c r="R90" s="40"/>
      <c r="S90" s="18"/>
      <c r="T90" s="18"/>
      <c r="U90" s="18"/>
      <c r="V90" s="40"/>
      <c r="W90" s="18"/>
      <c r="X90" s="18"/>
    </row>
    <row r="91" spans="1:26" ht="15" customHeight="1" x14ac:dyDescent="0.25">
      <c r="A91" s="10"/>
      <c r="B91" s="54">
        <v>44727.874527581022</v>
      </c>
      <c r="D91" s="18"/>
      <c r="E91" s="18"/>
      <c r="G91" s="18"/>
      <c r="H91" s="18"/>
      <c r="I91" s="18"/>
      <c r="J91" s="40"/>
      <c r="K91" s="18"/>
      <c r="L91" s="18"/>
      <c r="M91" s="18"/>
      <c r="P91" s="18"/>
      <c r="Q91" s="18"/>
      <c r="R91" s="40"/>
      <c r="S91" s="18"/>
      <c r="T91" s="18"/>
      <c r="U91" s="18"/>
      <c r="V91" s="40"/>
      <c r="W91" s="18"/>
      <c r="X91" s="18"/>
    </row>
    <row r="92" spans="1:26" ht="15" customHeight="1" x14ac:dyDescent="0.25">
      <c r="A92" s="10"/>
      <c r="B92" s="50" t="s">
        <v>298</v>
      </c>
      <c r="D92" s="18"/>
      <c r="E92" s="18"/>
      <c r="G92" s="18"/>
      <c r="H92" s="18"/>
      <c r="I92" s="18"/>
      <c r="J92" s="40"/>
      <c r="K92" s="18"/>
      <c r="L92" s="18"/>
      <c r="M92" s="18"/>
      <c r="P92" s="18"/>
      <c r="Q92" s="18"/>
      <c r="R92" s="40"/>
      <c r="S92" s="18"/>
      <c r="T92" s="18"/>
      <c r="U92" s="18"/>
      <c r="V92" s="40"/>
      <c r="W92" s="18"/>
      <c r="X92" s="18"/>
    </row>
    <row r="93" spans="1:26" ht="15" customHeight="1" x14ac:dyDescent="0.25">
      <c r="A93" s="10"/>
      <c r="B93" s="58"/>
      <c r="D93" s="18"/>
      <c r="E93" s="18"/>
      <c r="G93" s="18"/>
      <c r="H93" s="18"/>
      <c r="I93" s="18"/>
      <c r="J93" s="40"/>
      <c r="K93" s="18"/>
      <c r="L93" s="18"/>
      <c r="M93" s="18"/>
      <c r="P93" s="18"/>
      <c r="Q93" s="18"/>
      <c r="R93" s="40"/>
      <c r="S93" s="18"/>
      <c r="T93" s="18"/>
      <c r="U93" s="18"/>
      <c r="V93" s="40"/>
      <c r="W93" s="18"/>
      <c r="X93" s="18"/>
    </row>
    <row r="94" spans="1:26" ht="15" customHeight="1" x14ac:dyDescent="0.25">
      <c r="D94" s="18"/>
      <c r="E94" s="18"/>
      <c r="G94" s="18"/>
      <c r="H94" s="18"/>
      <c r="I94" s="18"/>
      <c r="J94" s="40"/>
      <c r="K94" s="18"/>
      <c r="L94" s="18"/>
      <c r="M94" s="18"/>
      <c r="P94" s="18"/>
      <c r="Q94" s="18"/>
      <c r="R94" s="40"/>
      <c r="S94" s="18"/>
      <c r="T94" s="18"/>
      <c r="U94" s="18"/>
      <c r="V94" s="40"/>
      <c r="W94" s="18"/>
      <c r="X9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B4E2F-11F7-DE61-4241-4E1E559C2949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","412"," - ","Chartroom")</f>
        <v>Department 412 - Chartroom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577.36</v>
      </c>
      <c r="E18" s="23"/>
      <c r="F18" s="31">
        <f t="shared" ref="F18:F28" si="0">IF(D$12=0,0,D18/D$12)</f>
        <v>0</v>
      </c>
      <c r="G18" s="23"/>
      <c r="H18" s="23" cm="1">
        <f t="array" ref="H18">SUM(OSRRefH22x_0)</f>
        <v>577</v>
      </c>
      <c r="I18" s="23"/>
      <c r="J18" s="31">
        <f t="shared" ref="J18:J28" si="1">IF(H$12=0,0,H18/H$12)</f>
        <v>0</v>
      </c>
      <c r="K18" s="5"/>
      <c r="L18" s="23">
        <f t="shared" ref="L18:L28" si="2">+D18-H18</f>
        <v>0.36000000000001364</v>
      </c>
      <c r="M18" s="5"/>
      <c r="N18" s="31">
        <f t="shared" ref="N18:N28" si="3">IF(H18=0,0,L18/H18)</f>
        <v>6.2391681109187809E-4</v>
      </c>
      <c r="O18" s="11"/>
      <c r="P18" s="23" cm="1">
        <f t="array" ref="P18">SUM(OSRRefP22x_0)</f>
        <v>6411.0000000000009</v>
      </c>
      <c r="Q18" s="23"/>
      <c r="R18" s="31">
        <f t="shared" ref="R18:R28" si="4">IF(P$12=0,0,P18/P$12)</f>
        <v>0</v>
      </c>
      <c r="S18" s="23"/>
      <c r="T18" s="23" cm="1">
        <f t="array" ref="T18">SUM(OSRRefT22x_0)</f>
        <v>6347</v>
      </c>
      <c r="U18" s="23"/>
      <c r="V18" s="31">
        <f t="shared" ref="V18:V28" si="5">IF(T$12=0,0,T18/T$12)</f>
        <v>0</v>
      </c>
      <c r="W18" s="5"/>
      <c r="X18" s="23">
        <f t="shared" ref="X18:X28" si="6">+P18-T18</f>
        <v>64.000000000000909</v>
      </c>
      <c r="Y18" s="5"/>
      <c r="Z18" s="31">
        <f t="shared" ref="Z18:Z28" si="7">IF(T18=0,0,X18/T18)</f>
        <v>1.0083504017646275E-2</v>
      </c>
    </row>
    <row r="19" spans="1:26" s="69" customFormat="1" ht="15" customHeight="1" outlineLevel="1" collapsed="1" x14ac:dyDescent="0.25">
      <c r="A19" s="26"/>
      <c r="B19" s="14" t="str">
        <f>CONCATENATE("     ","*Payroll                                          ")</f>
        <v xml:space="preserve">     *Payroll 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-262.52999999999997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-262.52999999999997</v>
      </c>
      <c r="Y19" s="2"/>
      <c r="Z19" s="6">
        <f t="shared" si="7"/>
        <v>0</v>
      </c>
    </row>
    <row r="20" spans="1:26" s="70" customFormat="1" ht="15" hidden="1" customHeight="1" outlineLevel="2" x14ac:dyDescent="0.25">
      <c r="A20" s="25"/>
      <c r="B20" s="12" t="str">
        <f>CONCATENATE("          ","6002"," - ","STAFF SALARIES")</f>
        <v xml:space="preserve">          6002 - STAFF SALARIES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-262.52999999999997</v>
      </c>
      <c r="Q20" s="3"/>
      <c r="R20" s="7">
        <f t="shared" si="4"/>
        <v>0</v>
      </c>
      <c r="S20" s="3"/>
      <c r="T20" s="8"/>
      <c r="U20" s="3"/>
      <c r="V20" s="7">
        <f t="shared" si="5"/>
        <v>0</v>
      </c>
      <c r="W20" s="3"/>
      <c r="X20" s="8">
        <f t="shared" si="6"/>
        <v>-262.52999999999997</v>
      </c>
      <c r="Y20" s="3"/>
      <c r="Z20" s="7">
        <f t="shared" si="7"/>
        <v>0</v>
      </c>
    </row>
    <row r="21" spans="1:26" s="69" customFormat="1" ht="15" customHeight="1" outlineLevel="1" collapsed="1" x14ac:dyDescent="0.25">
      <c r="A21" s="26"/>
      <c r="B21" s="14" t="str">
        <f>CONCATENATE("     ","Depreciation                                      ")</f>
        <v xml:space="preserve">     Depreciation                                      </v>
      </c>
      <c r="C21" s="14"/>
      <c r="D21" s="2">
        <f>SUM(OSRRefD22_1x_0)</f>
        <v>577.36</v>
      </c>
      <c r="E21" s="2"/>
      <c r="F21" s="6">
        <f t="shared" si="0"/>
        <v>0</v>
      </c>
      <c r="G21" s="2"/>
      <c r="H21" s="2">
        <f>SUM(OSRRefH22_1x_0)</f>
        <v>577</v>
      </c>
      <c r="I21" s="2"/>
      <c r="J21" s="6">
        <f t="shared" si="1"/>
        <v>0</v>
      </c>
      <c r="K21" s="2"/>
      <c r="L21" s="2">
        <f t="shared" si="2"/>
        <v>0.36000000000001364</v>
      </c>
      <c r="M21" s="2"/>
      <c r="N21" s="6">
        <f t="shared" si="3"/>
        <v>6.2391681109187809E-4</v>
      </c>
      <c r="O21" s="14"/>
      <c r="P21" s="2">
        <f>SUM(OSRRefP22_1x_0)</f>
        <v>6350.96</v>
      </c>
      <c r="Q21" s="2"/>
      <c r="R21" s="6">
        <f t="shared" si="4"/>
        <v>0</v>
      </c>
      <c r="S21" s="2"/>
      <c r="T21" s="2">
        <f>SUM(OSRRefT22_1x_0)</f>
        <v>6347</v>
      </c>
      <c r="U21" s="2"/>
      <c r="V21" s="6">
        <f t="shared" si="5"/>
        <v>0</v>
      </c>
      <c r="W21" s="2"/>
      <c r="X21" s="2">
        <f t="shared" si="6"/>
        <v>3.9600000000000364</v>
      </c>
      <c r="Y21" s="2"/>
      <c r="Z21" s="6">
        <f t="shared" si="7"/>
        <v>6.239168110918602E-4</v>
      </c>
    </row>
    <row r="22" spans="1:26" s="70" customFormat="1" ht="15" hidden="1" customHeight="1" outlineLevel="2" x14ac:dyDescent="0.25">
      <c r="A22" s="25"/>
      <c r="B22" s="12" t="str">
        <f>CONCATENATE("          ","6322"," - ","EQUIPMENT DEPRECIATION EXPENSE")</f>
        <v xml:space="preserve">          6322 - EQUIPMENT DEPRECIATION EXPENSE</v>
      </c>
      <c r="C22" s="12"/>
      <c r="D22" s="8">
        <v>577.36</v>
      </c>
      <c r="E22" s="3"/>
      <c r="F22" s="7">
        <f t="shared" si="0"/>
        <v>0</v>
      </c>
      <c r="G22" s="3"/>
      <c r="H22" s="8">
        <v>577</v>
      </c>
      <c r="I22" s="3"/>
      <c r="J22" s="7">
        <f t="shared" si="1"/>
        <v>0</v>
      </c>
      <c r="K22" s="3"/>
      <c r="L22" s="8">
        <f t="shared" si="2"/>
        <v>0.36000000000001364</v>
      </c>
      <c r="M22" s="3"/>
      <c r="N22" s="7">
        <f t="shared" si="3"/>
        <v>6.2391681109187809E-4</v>
      </c>
      <c r="O22" s="12"/>
      <c r="P22" s="8">
        <v>6350.96</v>
      </c>
      <c r="Q22" s="3"/>
      <c r="R22" s="7">
        <f t="shared" si="4"/>
        <v>0</v>
      </c>
      <c r="S22" s="3"/>
      <c r="T22" s="8">
        <v>6347</v>
      </c>
      <c r="U22" s="3"/>
      <c r="V22" s="7">
        <f t="shared" si="5"/>
        <v>0</v>
      </c>
      <c r="W22" s="3"/>
      <c r="X22" s="8">
        <f t="shared" si="6"/>
        <v>3.9600000000000364</v>
      </c>
      <c r="Y22" s="3"/>
      <c r="Z22" s="7">
        <f t="shared" si="7"/>
        <v>6.239168110918602E-4</v>
      </c>
    </row>
    <row r="23" spans="1:26" s="69" customFormat="1" ht="15" customHeight="1" outlineLevel="1" collapsed="1" x14ac:dyDescent="0.25">
      <c r="A23" s="26"/>
      <c r="B23" s="14" t="str">
        <f>CONCATENATE("     ","Repair and Maintenance                            ")</f>
        <v xml:space="preserve">     Repair and Maintenance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186.97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186.97</v>
      </c>
      <c r="Y23" s="2"/>
      <c r="Z23" s="6">
        <f t="shared" si="7"/>
        <v>0</v>
      </c>
    </row>
    <row r="24" spans="1:26" s="70" customFormat="1" ht="15" hidden="1" customHeight="1" outlineLevel="2" x14ac:dyDescent="0.25">
      <c r="A24" s="25"/>
      <c r="B24" s="12" t="str">
        <f>CONCATENATE("          ","6373"," - ","MAINTENANCE CONTRACTS")</f>
        <v xml:space="preserve">          6373 - MAINTENANCE CONTRACTS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>
        <v>186.97</v>
      </c>
      <c r="Q24" s="3"/>
      <c r="R24" s="7">
        <f t="shared" si="4"/>
        <v>0</v>
      </c>
      <c r="S24" s="3"/>
      <c r="T24" s="8"/>
      <c r="U24" s="3"/>
      <c r="V24" s="7">
        <f t="shared" si="5"/>
        <v>0</v>
      </c>
      <c r="W24" s="3"/>
      <c r="X24" s="8">
        <f t="shared" si="6"/>
        <v>186.97</v>
      </c>
      <c r="Y24" s="3"/>
      <c r="Z24" s="7">
        <f t="shared" si="7"/>
        <v>0</v>
      </c>
    </row>
    <row r="25" spans="1:26" s="69" customFormat="1" ht="15" customHeight="1" outlineLevel="1" collapsed="1" x14ac:dyDescent="0.25">
      <c r="A25" s="26"/>
      <c r="B25" s="14" t="str">
        <f>CONCATENATE("     ","Services                                          ")</f>
        <v xml:space="preserve">     Services            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0</v>
      </c>
      <c r="Q25" s="2"/>
      <c r="R25" s="6">
        <f t="shared" si="4"/>
        <v>0</v>
      </c>
      <c r="S25" s="2"/>
      <c r="T25" s="2">
        <f>SUM(OSRRefT22_3x_0)</f>
        <v>0</v>
      </c>
      <c r="U25" s="2"/>
      <c r="V25" s="6">
        <f t="shared" si="5"/>
        <v>0</v>
      </c>
      <c r="W25" s="2"/>
      <c r="X25" s="2">
        <f t="shared" si="6"/>
        <v>0</v>
      </c>
      <c r="Y25" s="2"/>
      <c r="Z25" s="6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","6284"," - ","TRASH REMOVAL EXPENSE")</f>
        <v xml:space="preserve">          6284 - TRASH REMOVAL EXPENSE</v>
      </c>
      <c r="C26" s="12"/>
      <c r="D26" s="8"/>
      <c r="E26" s="3"/>
      <c r="F26" s="7">
        <f t="shared" si="0"/>
        <v>0</v>
      </c>
      <c r="G26" s="3"/>
      <c r="H26" s="8"/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69" customFormat="1" ht="15" customHeight="1" outlineLevel="1" collapsed="1" x14ac:dyDescent="0.25">
      <c r="A27" s="26"/>
      <c r="B27" s="14" t="str">
        <f>CONCATENATE("     ","Telephone/Data Lines                              ")</f>
        <v xml:space="preserve">     Telephone/Data Lines                              </v>
      </c>
      <c r="C27" s="14"/>
      <c r="D27" s="2">
        <f>SUM(OSRRefD22_4x_0)</f>
        <v>0</v>
      </c>
      <c r="E27" s="2"/>
      <c r="F27" s="6">
        <f t="shared" si="0"/>
        <v>0</v>
      </c>
      <c r="G27" s="2"/>
      <c r="H27" s="2">
        <f>SUM(OSRRefH22_4x_0)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SUM(OSRRefP22_4x_0)</f>
        <v>135.6</v>
      </c>
      <c r="Q27" s="2"/>
      <c r="R27" s="6">
        <f t="shared" si="4"/>
        <v>0</v>
      </c>
      <c r="S27" s="2"/>
      <c r="T27" s="2">
        <f>SUM(OSRRefT22_4x_0)</f>
        <v>0</v>
      </c>
      <c r="U27" s="2"/>
      <c r="V27" s="6">
        <f t="shared" si="5"/>
        <v>0</v>
      </c>
      <c r="W27" s="2"/>
      <c r="X27" s="2">
        <f t="shared" si="6"/>
        <v>135.6</v>
      </c>
      <c r="Y27" s="2"/>
      <c r="Z27" s="6">
        <f t="shared" si="7"/>
        <v>0</v>
      </c>
    </row>
    <row r="28" spans="1:26" s="70" customFormat="1" ht="15" hidden="1" customHeight="1" outlineLevel="2" x14ac:dyDescent="0.25">
      <c r="A28" s="25"/>
      <c r="B28" s="12" t="str">
        <f>CONCATENATE("          ","6309"," - ","TELEPHONE")</f>
        <v xml:space="preserve">          6309 - TELEPHONE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135.6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135.6</v>
      </c>
      <c r="Y28" s="3"/>
      <c r="Z28" s="7">
        <f t="shared" si="7"/>
        <v>0</v>
      </c>
    </row>
    <row r="29" spans="1:26" s="65" customFormat="1" ht="15" customHeight="1" x14ac:dyDescent="0.25">
      <c r="A29" s="35"/>
      <c r="B29" s="35"/>
      <c r="C29" s="35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5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3" customFormat="1" ht="15" customHeight="1" x14ac:dyDescent="0.25">
      <c r="A30" s="11"/>
      <c r="B30" s="27" t="s">
        <v>291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25">
      <c r="A32" s="11"/>
      <c r="B32" s="28" t="s">
        <v>292</v>
      </c>
      <c r="C32" s="28"/>
      <c r="D32" s="22">
        <f>+D16-D18+D30</f>
        <v>-577.36</v>
      </c>
      <c r="E32" s="15"/>
      <c r="F32" s="21">
        <f>IF(D$12=0,0,D32/D$12)</f>
        <v>0</v>
      </c>
      <c r="G32" s="15"/>
      <c r="H32" s="22">
        <f>+H16-H18+H30</f>
        <v>-577</v>
      </c>
      <c r="I32" s="15"/>
      <c r="J32" s="21">
        <f>IF(H$12=0,0,H32/H$12)</f>
        <v>0</v>
      </c>
      <c r="K32" s="16"/>
      <c r="L32" s="22">
        <f>+D32-H32</f>
        <v>-0.36000000000001364</v>
      </c>
      <c r="M32" s="16"/>
      <c r="N32" s="21">
        <f>IF(H32=0,0,L32/H32)</f>
        <v>6.2391681109187809E-4</v>
      </c>
      <c r="O32" s="27"/>
      <c r="P32" s="22">
        <f>+P16-P18+P30</f>
        <v>-6411.0000000000009</v>
      </c>
      <c r="Q32" s="15"/>
      <c r="R32" s="21">
        <f>IF(P$12=0,0,P32/P$12)</f>
        <v>0</v>
      </c>
      <c r="S32" s="15"/>
      <c r="T32" s="22">
        <f>+T16-T18+T30</f>
        <v>-6347</v>
      </c>
      <c r="U32" s="15"/>
      <c r="V32" s="21">
        <f>IF(T$12=0,0,T32/T$12)</f>
        <v>0</v>
      </c>
      <c r="W32" s="16"/>
      <c r="X32" s="22">
        <f>+P32-T32</f>
        <v>-64.000000000000909</v>
      </c>
      <c r="Y32" s="16"/>
      <c r="Z32" s="21">
        <f>IF(T32=0,0,X32/T32)</f>
        <v>1.0083504017646275E-2</v>
      </c>
    </row>
    <row r="33" spans="1:26" ht="15" customHeight="1" x14ac:dyDescent="0.25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25">
      <c r="A34" s="49"/>
      <c r="B34" s="11" t="s">
        <v>293</v>
      </c>
      <c r="C34" s="11"/>
      <c r="D34" s="5"/>
      <c r="E34" s="5"/>
      <c r="F34" s="13">
        <f>IF(D$12=0,0,D34/D$12)</f>
        <v>0</v>
      </c>
      <c r="G34" s="5"/>
      <c r="H34" s="5"/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/>
      <c r="Q34" s="5"/>
      <c r="R34" s="13">
        <f>IF(P$12=0,0,P34/P$12)</f>
        <v>0</v>
      </c>
      <c r="S34" s="5"/>
      <c r="T34" s="5"/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294</v>
      </c>
      <c r="C36" s="28"/>
      <c r="D36" s="34">
        <f>+D32-D34</f>
        <v>-577.36</v>
      </c>
      <c r="E36" s="15"/>
      <c r="F36" s="32">
        <f>IF(D$12=0,0,D36/D$12)</f>
        <v>0</v>
      </c>
      <c r="G36" s="15"/>
      <c r="H36" s="34">
        <f>+H32-H34</f>
        <v>-577</v>
      </c>
      <c r="I36" s="15"/>
      <c r="J36" s="32">
        <f>IF(H$12=0,0,H36/H$12)</f>
        <v>0</v>
      </c>
      <c r="K36" s="16"/>
      <c r="L36" s="34">
        <f>D36-H36</f>
        <v>-0.36000000000001364</v>
      </c>
      <c r="M36" s="16"/>
      <c r="N36" s="32">
        <f>IF(H36=0,0,L36/H36)</f>
        <v>6.2391681109187809E-4</v>
      </c>
      <c r="O36" s="27"/>
      <c r="P36" s="34">
        <f>+P32-P34</f>
        <v>-6411.0000000000009</v>
      </c>
      <c r="Q36" s="15"/>
      <c r="R36" s="32">
        <f>IF(P$12=0,0,P36/P$12)</f>
        <v>0</v>
      </c>
      <c r="S36" s="15"/>
      <c r="T36" s="34">
        <f>+T32-T34</f>
        <v>-6347</v>
      </c>
      <c r="U36" s="15"/>
      <c r="V36" s="32">
        <f>IF(T$12=0,0,T36/T$12)</f>
        <v>0</v>
      </c>
      <c r="W36" s="16"/>
      <c r="X36" s="34">
        <f>P36-T36</f>
        <v>-64.000000000000909</v>
      </c>
      <c r="Y36" s="16"/>
      <c r="Z36" s="32">
        <f>IF(T36=0,0,X36/T36)</f>
        <v>1.0083504017646275E-2</v>
      </c>
    </row>
    <row r="37" spans="1:26" ht="15" customHeight="1" x14ac:dyDescent="0.25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25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3" customFormat="1" ht="15" customHeight="1" x14ac:dyDescent="0.25">
      <c r="A39" s="11"/>
      <c r="B39" s="28" t="s">
        <v>297</v>
      </c>
      <c r="C39" s="28"/>
      <c r="D39" s="30">
        <f>SUM(D36:D38)</f>
        <v>-577.36</v>
      </c>
      <c r="E39" s="15"/>
      <c r="F39" s="33">
        <f>IF(D$12=0,0,D39/D$12)</f>
        <v>0</v>
      </c>
      <c r="G39" s="15"/>
      <c r="H39" s="30">
        <f>SUM(H36:H38)</f>
        <v>-577</v>
      </c>
      <c r="I39" s="15"/>
      <c r="J39" s="33">
        <f>IF(H$12=0,0,H39/H$12)</f>
        <v>0</v>
      </c>
      <c r="K39" s="16"/>
      <c r="L39" s="30">
        <f>+D39-H39</f>
        <v>-0.36000000000001364</v>
      </c>
      <c r="M39" s="16"/>
      <c r="N39" s="33">
        <f>IF(H39=0,0,L39/H39)</f>
        <v>6.2391681109187809E-4</v>
      </c>
      <c r="O39" s="27"/>
      <c r="P39" s="30">
        <f>SUM(P36:P38)</f>
        <v>-6411.0000000000009</v>
      </c>
      <c r="Q39" s="15"/>
      <c r="R39" s="33">
        <f>IF(P$12=0,0,P39/P$12)</f>
        <v>0</v>
      </c>
      <c r="S39" s="15"/>
      <c r="T39" s="30">
        <f>SUM(T36:T38)</f>
        <v>-6347</v>
      </c>
      <c r="U39" s="15"/>
      <c r="V39" s="33">
        <f>IF(T$12=0,0,T39/T$12)</f>
        <v>0</v>
      </c>
      <c r="W39" s="16"/>
      <c r="X39" s="30">
        <f>+P39-T39</f>
        <v>-64.000000000000909</v>
      </c>
      <c r="Y39" s="16"/>
      <c r="Z39" s="33">
        <f>IF(T39=0,0,X39/T39)</f>
        <v>1.0083504017646275E-2</v>
      </c>
    </row>
    <row r="40" spans="1:26" ht="15" customHeight="1" x14ac:dyDescent="0.25">
      <c r="A40" s="10"/>
      <c r="C40" s="10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A41" s="10"/>
      <c r="B41" s="54">
        <v>44727.874527581022</v>
      </c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  <row r="42" spans="1:26" ht="15" customHeight="1" x14ac:dyDescent="0.25">
      <c r="A42" s="10"/>
      <c r="B42" s="50" t="s">
        <v>298</v>
      </c>
      <c r="D42" s="18"/>
      <c r="E42" s="18"/>
      <c r="G42" s="18"/>
      <c r="H42" s="18"/>
      <c r="I42" s="18"/>
      <c r="J42" s="40"/>
      <c r="K42" s="18"/>
      <c r="L42" s="18"/>
      <c r="M42" s="18"/>
      <c r="P42" s="18"/>
      <c r="Q42" s="18"/>
      <c r="R42" s="40"/>
      <c r="S42" s="18"/>
      <c r="T42" s="18"/>
      <c r="U42" s="18"/>
      <c r="V42" s="40"/>
      <c r="W42" s="18"/>
      <c r="X42" s="18"/>
    </row>
    <row r="43" spans="1:26" ht="15" customHeight="1" x14ac:dyDescent="0.25">
      <c r="A43" s="10"/>
      <c r="B43" s="58"/>
      <c r="D43" s="18"/>
      <c r="E43" s="18"/>
      <c r="G43" s="18"/>
      <c r="H43" s="18"/>
      <c r="I43" s="18"/>
      <c r="J43" s="40"/>
      <c r="K43" s="18"/>
      <c r="L43" s="18"/>
      <c r="M43" s="18"/>
      <c r="P43" s="18"/>
      <c r="Q43" s="18"/>
      <c r="R43" s="40"/>
      <c r="S43" s="18"/>
      <c r="T43" s="18"/>
      <c r="U43" s="18"/>
      <c r="V43" s="40"/>
      <c r="W43" s="18"/>
      <c r="X43" s="18"/>
    </row>
    <row r="44" spans="1:26" ht="15" customHeight="1" x14ac:dyDescent="0.25"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EDAEB-121D-DF01-6CDB-85B47C1E3CC4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","413"," - ","Beach Walk")</f>
        <v>Department 413 - Beach Walk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58.03</v>
      </c>
      <c r="E18" s="23"/>
      <c r="F18" s="31">
        <f t="shared" ref="F18:F24" si="0">IF(D$12=0,0,D18/D$12)</f>
        <v>0</v>
      </c>
      <c r="G18" s="23"/>
      <c r="H18" s="23" cm="1">
        <f t="array" ref="H18">SUM(OSRRefH22x_0)</f>
        <v>58</v>
      </c>
      <c r="I18" s="23"/>
      <c r="J18" s="31">
        <f t="shared" ref="J18:J24" si="1">IF(H$12=0,0,H18/H$12)</f>
        <v>0</v>
      </c>
      <c r="K18" s="5"/>
      <c r="L18" s="23">
        <f t="shared" ref="L18:L24" si="2">+D18-H18</f>
        <v>3.0000000000001137E-2</v>
      </c>
      <c r="M18" s="5"/>
      <c r="N18" s="31">
        <f t="shared" ref="N18:N24" si="3">IF(H18=0,0,L18/H18)</f>
        <v>5.1724137931036447E-4</v>
      </c>
      <c r="O18" s="11"/>
      <c r="P18" s="23" cm="1">
        <f t="array" ref="P18">SUM(OSRRefP22x_0)</f>
        <v>1003.1400000000001</v>
      </c>
      <c r="Q18" s="23"/>
      <c r="R18" s="31">
        <f t="shared" ref="R18:R24" si="4">IF(P$12=0,0,P18/P$12)</f>
        <v>0</v>
      </c>
      <c r="S18" s="23"/>
      <c r="T18" s="23" cm="1">
        <f t="array" ref="T18">SUM(OSRRefT22x_0)</f>
        <v>638</v>
      </c>
      <c r="U18" s="23"/>
      <c r="V18" s="31">
        <f t="shared" ref="V18:V24" si="5">IF(T$12=0,0,T18/T$12)</f>
        <v>0</v>
      </c>
      <c r="W18" s="5"/>
      <c r="X18" s="23">
        <f t="shared" ref="X18:X24" si="6">+P18-T18</f>
        <v>365.1400000000001</v>
      </c>
      <c r="Y18" s="5"/>
      <c r="Z18" s="31">
        <f t="shared" ref="Z18:Z24" si="7">IF(T18=0,0,X18/T18)</f>
        <v>0.57231974921630113</v>
      </c>
    </row>
    <row r="19" spans="1:26" s="69" customFormat="1" ht="15" customHeight="1" outlineLevel="1" collapsed="1" x14ac:dyDescent="0.25">
      <c r="A19" s="26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58.03</v>
      </c>
      <c r="E19" s="2"/>
      <c r="F19" s="6">
        <f t="shared" si="0"/>
        <v>0</v>
      </c>
      <c r="G19" s="2"/>
      <c r="H19" s="2">
        <f>SUM(OSRRefH22_0x_0)</f>
        <v>58</v>
      </c>
      <c r="I19" s="2"/>
      <c r="J19" s="6">
        <f t="shared" si="1"/>
        <v>0</v>
      </c>
      <c r="K19" s="2"/>
      <c r="L19" s="2">
        <f t="shared" si="2"/>
        <v>3.0000000000001137E-2</v>
      </c>
      <c r="M19" s="2"/>
      <c r="N19" s="6">
        <f t="shared" si="3"/>
        <v>5.1724137931036447E-4</v>
      </c>
      <c r="O19" s="14"/>
      <c r="P19" s="2">
        <f>SUM(OSRRefP22_0x_0)</f>
        <v>638.33000000000004</v>
      </c>
      <c r="Q19" s="2"/>
      <c r="R19" s="6">
        <f t="shared" si="4"/>
        <v>0</v>
      </c>
      <c r="S19" s="2"/>
      <c r="T19" s="2">
        <f>SUM(OSRRefT22_0x_0)</f>
        <v>638</v>
      </c>
      <c r="U19" s="2"/>
      <c r="V19" s="6">
        <f t="shared" si="5"/>
        <v>0</v>
      </c>
      <c r="W19" s="2"/>
      <c r="X19" s="2">
        <f t="shared" si="6"/>
        <v>0.33000000000004093</v>
      </c>
      <c r="Y19" s="2"/>
      <c r="Z19" s="6">
        <f t="shared" si="7"/>
        <v>5.1724137931040903E-4</v>
      </c>
    </row>
    <row r="20" spans="1:26" s="70" customFormat="1" ht="15" hidden="1" customHeight="1" outlineLevel="2" x14ac:dyDescent="0.25">
      <c r="A20" s="25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58.03</v>
      </c>
      <c r="E20" s="3"/>
      <c r="F20" s="7">
        <f t="shared" si="0"/>
        <v>0</v>
      </c>
      <c r="G20" s="3"/>
      <c r="H20" s="8">
        <v>58</v>
      </c>
      <c r="I20" s="3"/>
      <c r="J20" s="7">
        <f t="shared" si="1"/>
        <v>0</v>
      </c>
      <c r="K20" s="3"/>
      <c r="L20" s="8">
        <f t="shared" si="2"/>
        <v>3.0000000000001137E-2</v>
      </c>
      <c r="M20" s="3"/>
      <c r="N20" s="7">
        <f t="shared" si="3"/>
        <v>5.1724137931036447E-4</v>
      </c>
      <c r="O20" s="12"/>
      <c r="P20" s="8">
        <v>638.33000000000004</v>
      </c>
      <c r="Q20" s="3"/>
      <c r="R20" s="7">
        <f t="shared" si="4"/>
        <v>0</v>
      </c>
      <c r="S20" s="3"/>
      <c r="T20" s="8">
        <v>638</v>
      </c>
      <c r="U20" s="3"/>
      <c r="V20" s="7">
        <f t="shared" si="5"/>
        <v>0</v>
      </c>
      <c r="W20" s="3"/>
      <c r="X20" s="8">
        <f t="shared" si="6"/>
        <v>0.33000000000004093</v>
      </c>
      <c r="Y20" s="3"/>
      <c r="Z20" s="7">
        <f t="shared" si="7"/>
        <v>5.1724137931040903E-4</v>
      </c>
    </row>
    <row r="21" spans="1:26" s="69" customFormat="1" ht="15" customHeight="1" outlineLevel="1" collapsed="1" x14ac:dyDescent="0.25">
      <c r="A21" s="26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364.81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364.81</v>
      </c>
      <c r="Y21" s="2"/>
      <c r="Z21" s="6">
        <f t="shared" si="7"/>
        <v>0</v>
      </c>
    </row>
    <row r="22" spans="1:26" s="70" customFormat="1" ht="15" hidden="1" customHeight="1" outlineLevel="2" x14ac:dyDescent="0.25">
      <c r="A22" s="25"/>
      <c r="B22" s="12" t="str">
        <f>CONCATENATE("          ","6373"," - ","MAINTENANCE CONTRACTS")</f>
        <v xml:space="preserve">          6373 - MAINTENANCE CONTRACTS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364.81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364.81</v>
      </c>
      <c r="Y22" s="3"/>
      <c r="Z22" s="7">
        <f t="shared" si="7"/>
        <v>0</v>
      </c>
    </row>
    <row r="23" spans="1:26" s="69" customFormat="1" ht="15" customHeight="1" outlineLevel="1" collapsed="1" x14ac:dyDescent="0.25">
      <c r="A23" s="26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25">
      <c r="A24" s="25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5" customFormat="1" ht="15" customHeight="1" x14ac:dyDescent="0.25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25">
      <c r="A26" s="11"/>
      <c r="B26" s="27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25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25">
      <c r="A28" s="11"/>
      <c r="B28" s="28" t="s">
        <v>292</v>
      </c>
      <c r="C28" s="28"/>
      <c r="D28" s="22">
        <f>+D16-D18+D26</f>
        <v>-58.03</v>
      </c>
      <c r="E28" s="15"/>
      <c r="F28" s="21">
        <f>IF(D$12=0,0,D28/D$12)</f>
        <v>0</v>
      </c>
      <c r="G28" s="15"/>
      <c r="H28" s="22">
        <f>+H16-H18+H26</f>
        <v>-58</v>
      </c>
      <c r="I28" s="15"/>
      <c r="J28" s="21">
        <f>IF(H$12=0,0,H28/H$12)</f>
        <v>0</v>
      </c>
      <c r="K28" s="16"/>
      <c r="L28" s="22">
        <f>+D28-H28</f>
        <v>-3.0000000000001137E-2</v>
      </c>
      <c r="M28" s="16"/>
      <c r="N28" s="21">
        <f>IF(H28=0,0,L28/H28)</f>
        <v>5.1724137931036447E-4</v>
      </c>
      <c r="O28" s="27"/>
      <c r="P28" s="22">
        <f>+P16-P18+P26</f>
        <v>-1003.1400000000001</v>
      </c>
      <c r="Q28" s="15"/>
      <c r="R28" s="21">
        <f>IF(P$12=0,0,P28/P$12)</f>
        <v>0</v>
      </c>
      <c r="S28" s="15"/>
      <c r="T28" s="22">
        <f>+T16-T18+T26</f>
        <v>-638</v>
      </c>
      <c r="U28" s="15"/>
      <c r="V28" s="21">
        <f>IF(T$12=0,0,T28/T$12)</f>
        <v>0</v>
      </c>
      <c r="W28" s="16"/>
      <c r="X28" s="22">
        <f>+P28-T28</f>
        <v>-365.1400000000001</v>
      </c>
      <c r="Y28" s="16"/>
      <c r="Z28" s="21">
        <f>IF(T28=0,0,X28/T28)</f>
        <v>0.57231974921630113</v>
      </c>
    </row>
    <row r="29" spans="1:26" ht="15" customHeight="1" x14ac:dyDescent="0.25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25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25">
      <c r="A32" s="11"/>
      <c r="B32" s="28" t="s">
        <v>294</v>
      </c>
      <c r="C32" s="28"/>
      <c r="D32" s="34">
        <f>+D28-D30</f>
        <v>-58.03</v>
      </c>
      <c r="E32" s="15"/>
      <c r="F32" s="32">
        <f>IF(D$12=0,0,D32/D$12)</f>
        <v>0</v>
      </c>
      <c r="G32" s="15"/>
      <c r="H32" s="34">
        <f>+H28-H30</f>
        <v>-58</v>
      </c>
      <c r="I32" s="15"/>
      <c r="J32" s="32">
        <f>IF(H$12=0,0,H32/H$12)</f>
        <v>0</v>
      </c>
      <c r="K32" s="16"/>
      <c r="L32" s="34">
        <f>D32-H32</f>
        <v>-3.0000000000001137E-2</v>
      </c>
      <c r="M32" s="16"/>
      <c r="N32" s="32">
        <f>IF(H32=0,0,L32/H32)</f>
        <v>5.1724137931036447E-4</v>
      </c>
      <c r="O32" s="27"/>
      <c r="P32" s="34">
        <f>+P28-P30</f>
        <v>-1003.1400000000001</v>
      </c>
      <c r="Q32" s="15"/>
      <c r="R32" s="32">
        <f>IF(P$12=0,0,P32/P$12)</f>
        <v>0</v>
      </c>
      <c r="S32" s="15"/>
      <c r="T32" s="34">
        <f>+T28-T30</f>
        <v>-638</v>
      </c>
      <c r="U32" s="15"/>
      <c r="V32" s="32">
        <f>IF(T$12=0,0,T32/T$12)</f>
        <v>0</v>
      </c>
      <c r="W32" s="16"/>
      <c r="X32" s="34">
        <f>P32-T32</f>
        <v>-365.1400000000001</v>
      </c>
      <c r="Y32" s="16"/>
      <c r="Z32" s="32">
        <f>IF(T32=0,0,X32/T32)</f>
        <v>0.57231974921630113</v>
      </c>
    </row>
    <row r="33" spans="1:26" ht="15" customHeight="1" x14ac:dyDescent="0.25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25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25">
      <c r="A35" s="11"/>
      <c r="B35" s="28" t="s">
        <v>297</v>
      </c>
      <c r="C35" s="28"/>
      <c r="D35" s="30">
        <f>SUM(D32:D34)</f>
        <v>-58.03</v>
      </c>
      <c r="E35" s="15"/>
      <c r="F35" s="33">
        <f>IF(D$12=0,0,D35/D$12)</f>
        <v>0</v>
      </c>
      <c r="G35" s="15"/>
      <c r="H35" s="30">
        <f>SUM(H32:H34)</f>
        <v>-58</v>
      </c>
      <c r="I35" s="15"/>
      <c r="J35" s="33">
        <f>IF(H$12=0,0,H35/H$12)</f>
        <v>0</v>
      </c>
      <c r="K35" s="16"/>
      <c r="L35" s="30">
        <f>+D35-H35</f>
        <v>-3.0000000000001137E-2</v>
      </c>
      <c r="M35" s="16"/>
      <c r="N35" s="33">
        <f>IF(H35=0,0,L35/H35)</f>
        <v>5.1724137931036447E-4</v>
      </c>
      <c r="O35" s="27"/>
      <c r="P35" s="30">
        <f>SUM(P32:P34)</f>
        <v>-1003.1400000000001</v>
      </c>
      <c r="Q35" s="15"/>
      <c r="R35" s="33">
        <f>IF(P$12=0,0,P35/P$12)</f>
        <v>0</v>
      </c>
      <c r="S35" s="15"/>
      <c r="T35" s="30">
        <f>SUM(T32:T34)</f>
        <v>-638</v>
      </c>
      <c r="U35" s="15"/>
      <c r="V35" s="33">
        <f>IF(T$12=0,0,T35/T$12)</f>
        <v>0</v>
      </c>
      <c r="W35" s="16"/>
      <c r="X35" s="30">
        <f>+P35-T35</f>
        <v>-365.1400000000001</v>
      </c>
      <c r="Y35" s="16"/>
      <c r="Z35" s="33">
        <f>IF(T35=0,0,X35/T35)</f>
        <v>0.57231974921630113</v>
      </c>
    </row>
    <row r="36" spans="1:26" ht="15" customHeight="1" x14ac:dyDescent="0.25">
      <c r="A36" s="10"/>
      <c r="C36" s="10"/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  <row r="37" spans="1:26" ht="15" customHeight="1" x14ac:dyDescent="0.25">
      <c r="A37" s="10"/>
      <c r="B37" s="54">
        <v>44727.874527581022</v>
      </c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0" t="s">
        <v>298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8"/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E8AA9-3644-B235-FE66-1D61928C353B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","414"," - ","Starbucks UDP")</f>
        <v>Department 414 - Starbucks UDP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0</v>
      </c>
      <c r="E18" s="23"/>
      <c r="F18" s="31">
        <f t="shared" ref="F18:F24" si="0">IF(D$12=0,0,D18/D$12)</f>
        <v>0</v>
      </c>
      <c r="G18" s="23"/>
      <c r="H18" s="23" cm="1">
        <f t="array" ref="H18">SUM(OSRRefH22x_0)</f>
        <v>0</v>
      </c>
      <c r="I18" s="23"/>
      <c r="J18" s="31">
        <f t="shared" ref="J18:J24" si="1">IF(H$12=0,0,H18/H$12)</f>
        <v>0</v>
      </c>
      <c r="K18" s="5"/>
      <c r="L18" s="23">
        <f t="shared" ref="L18:L24" si="2">+D18-H18</f>
        <v>0</v>
      </c>
      <c r="M18" s="5"/>
      <c r="N18" s="31">
        <f t="shared" ref="N18:N24" si="3">IF(H18=0,0,L18/H18)</f>
        <v>0</v>
      </c>
      <c r="O18" s="11"/>
      <c r="P18" s="23" cm="1">
        <f t="array" ref="P18">SUM(OSRRefP22x_0)</f>
        <v>372.9</v>
      </c>
      <c r="Q18" s="23"/>
      <c r="R18" s="31">
        <f t="shared" ref="R18:R24" si="4">IF(P$12=0,0,P18/P$12)</f>
        <v>0</v>
      </c>
      <c r="S18" s="23"/>
      <c r="T18" s="23" cm="1">
        <f t="array" ref="T18">SUM(OSRRefT22x_0)</f>
        <v>0</v>
      </c>
      <c r="U18" s="23"/>
      <c r="V18" s="31">
        <f t="shared" ref="V18:V24" si="5">IF(T$12=0,0,T18/T$12)</f>
        <v>0</v>
      </c>
      <c r="W18" s="5"/>
      <c r="X18" s="23">
        <f t="shared" ref="X18:X24" si="6">+P18-T18</f>
        <v>372.9</v>
      </c>
      <c r="Y18" s="5"/>
      <c r="Z18" s="31">
        <f t="shared" ref="Z18:Z24" si="7">IF(T18=0,0,X18/T18)</f>
        <v>0</v>
      </c>
    </row>
    <row r="19" spans="1:26" s="69" customFormat="1" ht="15" customHeight="1" outlineLevel="1" collapsed="1" x14ac:dyDescent="0.25">
      <c r="A19" s="26"/>
      <c r="B19" s="14" t="str">
        <f>CONCATENATE("     ","Equipment Rental                                  ")</f>
        <v xml:space="preserve">     Equipment Rental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118.91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118.91</v>
      </c>
      <c r="Y19" s="2"/>
      <c r="Z19" s="6">
        <f t="shared" si="7"/>
        <v>0</v>
      </c>
    </row>
    <row r="20" spans="1:26" s="70" customFormat="1" ht="15" hidden="1" customHeight="1" outlineLevel="2" x14ac:dyDescent="0.25">
      <c r="A20" s="25"/>
      <c r="B20" s="12" t="str">
        <f>CONCATENATE("          ","6351"," - ","EQUIPMENT RENTAL")</f>
        <v xml:space="preserve">          6351 - EQUIPMENT RENTAL</v>
      </c>
      <c r="C20" s="12"/>
      <c r="D20" s="8"/>
      <c r="E20" s="3"/>
      <c r="F20" s="7">
        <f t="shared" si="0"/>
        <v>0</v>
      </c>
      <c r="G20" s="3"/>
      <c r="H20" s="8"/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>
        <v>118.91</v>
      </c>
      <c r="Q20" s="3"/>
      <c r="R20" s="7">
        <f t="shared" si="4"/>
        <v>0</v>
      </c>
      <c r="S20" s="3"/>
      <c r="T20" s="8"/>
      <c r="U20" s="3"/>
      <c r="V20" s="7">
        <f t="shared" si="5"/>
        <v>0</v>
      </c>
      <c r="W20" s="3"/>
      <c r="X20" s="8">
        <f t="shared" si="6"/>
        <v>118.91</v>
      </c>
      <c r="Y20" s="3"/>
      <c r="Z20" s="7">
        <f t="shared" si="7"/>
        <v>0</v>
      </c>
    </row>
    <row r="21" spans="1:26" s="69" customFormat="1" ht="15" customHeight="1" outlineLevel="1" collapsed="1" x14ac:dyDescent="0.25">
      <c r="A21" s="26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253.99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253.99</v>
      </c>
      <c r="Y21" s="2"/>
      <c r="Z21" s="6">
        <f t="shared" si="7"/>
        <v>0</v>
      </c>
    </row>
    <row r="22" spans="1:26" s="70" customFormat="1" ht="15" hidden="1" customHeight="1" outlineLevel="2" x14ac:dyDescent="0.25">
      <c r="A22" s="25"/>
      <c r="B22" s="12" t="str">
        <f>CONCATENATE("          ","6373"," - ","MAINTENANCE CONTRACTS")</f>
        <v xml:space="preserve">          6373 - MAINTENANCE CONTRACTS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253.99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253.99</v>
      </c>
      <c r="Y22" s="3"/>
      <c r="Z22" s="7">
        <f t="shared" si="7"/>
        <v>0</v>
      </c>
    </row>
    <row r="23" spans="1:26" s="69" customFormat="1" ht="15" customHeight="1" outlineLevel="1" collapsed="1" x14ac:dyDescent="0.25">
      <c r="A23" s="26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25">
      <c r="A24" s="25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5" customFormat="1" ht="15" customHeight="1" x14ac:dyDescent="0.25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25">
      <c r="A26" s="11"/>
      <c r="B26" s="27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25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25">
      <c r="A28" s="11"/>
      <c r="B28" s="28" t="s">
        <v>292</v>
      </c>
      <c r="C28" s="28"/>
      <c r="D28" s="22">
        <f>+D16-D18+D26</f>
        <v>0</v>
      </c>
      <c r="E28" s="15"/>
      <c r="F28" s="21">
        <f>IF(D$12=0,0,D28/D$12)</f>
        <v>0</v>
      </c>
      <c r="G28" s="15"/>
      <c r="H28" s="22">
        <f>+H16-H18+H26</f>
        <v>0</v>
      </c>
      <c r="I28" s="15"/>
      <c r="J28" s="21">
        <f>IF(H$12=0,0,H28/H$12)</f>
        <v>0</v>
      </c>
      <c r="K28" s="16"/>
      <c r="L28" s="22">
        <f>+D28-H28</f>
        <v>0</v>
      </c>
      <c r="M28" s="16"/>
      <c r="N28" s="21">
        <f>IF(H28=0,0,L28/H28)</f>
        <v>0</v>
      </c>
      <c r="O28" s="27"/>
      <c r="P28" s="22">
        <f>+P16-P18+P26</f>
        <v>-372.9</v>
      </c>
      <c r="Q28" s="15"/>
      <c r="R28" s="21">
        <f>IF(P$12=0,0,P28/P$12)</f>
        <v>0</v>
      </c>
      <c r="S28" s="15"/>
      <c r="T28" s="22">
        <f>+T16-T18+T26</f>
        <v>0</v>
      </c>
      <c r="U28" s="15"/>
      <c r="V28" s="21">
        <f>IF(T$12=0,0,T28/T$12)</f>
        <v>0</v>
      </c>
      <c r="W28" s="16"/>
      <c r="X28" s="22">
        <f>+P28-T28</f>
        <v>-372.9</v>
      </c>
      <c r="Y28" s="16"/>
      <c r="Z28" s="21">
        <f>IF(T28=0,0,X28/T28)</f>
        <v>0</v>
      </c>
    </row>
    <row r="29" spans="1:26" ht="15" customHeight="1" x14ac:dyDescent="0.25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25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25">
      <c r="A32" s="11"/>
      <c r="B32" s="28" t="s">
        <v>294</v>
      </c>
      <c r="C32" s="28"/>
      <c r="D32" s="34">
        <f>+D28-D30</f>
        <v>0</v>
      </c>
      <c r="E32" s="15"/>
      <c r="F32" s="32">
        <f>IF(D$12=0,0,D32/D$12)</f>
        <v>0</v>
      </c>
      <c r="G32" s="15"/>
      <c r="H32" s="34">
        <f>+H28-H30</f>
        <v>0</v>
      </c>
      <c r="I32" s="15"/>
      <c r="J32" s="32">
        <f>IF(H$12=0,0,H32/H$12)</f>
        <v>0</v>
      </c>
      <c r="K32" s="16"/>
      <c r="L32" s="34">
        <f>D32-H32</f>
        <v>0</v>
      </c>
      <c r="M32" s="16"/>
      <c r="N32" s="32">
        <f>IF(H32=0,0,L32/H32)</f>
        <v>0</v>
      </c>
      <c r="O32" s="27"/>
      <c r="P32" s="34">
        <f>+P28-P30</f>
        <v>-372.9</v>
      </c>
      <c r="Q32" s="15"/>
      <c r="R32" s="32">
        <f>IF(P$12=0,0,P32/P$12)</f>
        <v>0</v>
      </c>
      <c r="S32" s="15"/>
      <c r="T32" s="34">
        <f>+T28-T30</f>
        <v>0</v>
      </c>
      <c r="U32" s="15"/>
      <c r="V32" s="32">
        <f>IF(T$12=0,0,T32/T$12)</f>
        <v>0</v>
      </c>
      <c r="W32" s="16"/>
      <c r="X32" s="34">
        <f>P32-T32</f>
        <v>-372.9</v>
      </c>
      <c r="Y32" s="16"/>
      <c r="Z32" s="32">
        <f>IF(T32=0,0,X32/T32)</f>
        <v>0</v>
      </c>
    </row>
    <row r="33" spans="1:26" ht="15" customHeight="1" x14ac:dyDescent="0.25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25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25">
      <c r="A35" s="11"/>
      <c r="B35" s="28" t="s">
        <v>297</v>
      </c>
      <c r="C35" s="28"/>
      <c r="D35" s="30">
        <f>SUM(D32:D34)</f>
        <v>0</v>
      </c>
      <c r="E35" s="15"/>
      <c r="F35" s="33">
        <f>IF(D$12=0,0,D35/D$12)</f>
        <v>0</v>
      </c>
      <c r="G35" s="15"/>
      <c r="H35" s="30">
        <f>SUM(H32:H34)</f>
        <v>0</v>
      </c>
      <c r="I35" s="15"/>
      <c r="J35" s="33">
        <f>IF(H$12=0,0,H35/H$12)</f>
        <v>0</v>
      </c>
      <c r="K35" s="16"/>
      <c r="L35" s="30">
        <f>+D35-H35</f>
        <v>0</v>
      </c>
      <c r="M35" s="16"/>
      <c r="N35" s="33">
        <f>IF(H35=0,0,L35/H35)</f>
        <v>0</v>
      </c>
      <c r="O35" s="27"/>
      <c r="P35" s="30">
        <f>SUM(P32:P34)</f>
        <v>-372.9</v>
      </c>
      <c r="Q35" s="15"/>
      <c r="R35" s="33">
        <f>IF(P$12=0,0,P35/P$12)</f>
        <v>0</v>
      </c>
      <c r="S35" s="15"/>
      <c r="T35" s="30">
        <f>SUM(T32:T34)</f>
        <v>0</v>
      </c>
      <c r="U35" s="15"/>
      <c r="V35" s="33">
        <f>IF(T$12=0,0,T35/T$12)</f>
        <v>0</v>
      </c>
      <c r="W35" s="16"/>
      <c r="X35" s="30">
        <f>+P35-T35</f>
        <v>-372.9</v>
      </c>
      <c r="Y35" s="16"/>
      <c r="Z35" s="33">
        <f>IF(T35=0,0,X35/T35)</f>
        <v>0</v>
      </c>
    </row>
    <row r="36" spans="1:26" ht="15" customHeight="1" x14ac:dyDescent="0.25">
      <c r="A36" s="10"/>
      <c r="C36" s="10"/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  <row r="37" spans="1:26" ht="15" customHeight="1" x14ac:dyDescent="0.25">
      <c r="A37" s="10"/>
      <c r="B37" s="54">
        <v>44727.874527581022</v>
      </c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0" t="s">
        <v>298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8"/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AD783-100B-B073-394F-9463A9B7CDD3}">
  <sheetPr>
    <tabColor rgb="FF92D05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","415"," - ","Outpost")</f>
        <v>Department 415 - Outpost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45721.79</v>
      </c>
      <c r="E12" s="5"/>
      <c r="F12" s="13"/>
      <c r="G12" s="5"/>
      <c r="H12" s="5">
        <f>SUM(OSRRefH13x_0)</f>
        <v>74055</v>
      </c>
      <c r="I12" s="5"/>
      <c r="J12" s="13"/>
      <c r="K12" s="5"/>
      <c r="L12" s="5">
        <f>+D12-H12</f>
        <v>-28333.21</v>
      </c>
      <c r="M12" s="5"/>
      <c r="N12" s="13">
        <f>IF(H12=0,0,L12/H12)</f>
        <v>-0.3825968536898251</v>
      </c>
      <c r="O12" s="11"/>
      <c r="P12" s="5">
        <f>SUM(OSRRefP13x_0)</f>
        <v>811164.91999999993</v>
      </c>
      <c r="Q12" s="5"/>
      <c r="R12" s="13"/>
      <c r="S12" s="5"/>
      <c r="T12" s="5">
        <f>SUM(OSRRefT13x_0)</f>
        <v>647424</v>
      </c>
      <c r="U12" s="5"/>
      <c r="V12" s="13"/>
      <c r="W12" s="5"/>
      <c r="X12" s="5">
        <f>+P12-T12</f>
        <v>163740.91999999993</v>
      </c>
      <c r="Y12" s="5"/>
      <c r="Z12" s="13">
        <f>IF(T12=0,0,X12/T12)</f>
        <v>0.25291141508501375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23033</v>
      </c>
      <c r="I13" s="3"/>
      <c r="J13" s="20"/>
      <c r="K13" s="3"/>
      <c r="L13" s="3">
        <f>+D13-H13</f>
        <v>-23033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201366</v>
      </c>
      <c r="U13" s="3"/>
      <c r="V13" s="20"/>
      <c r="W13" s="3"/>
      <c r="X13" s="3">
        <f>+P13-T13</f>
        <v>-201366</v>
      </c>
      <c r="Y13" s="3"/>
      <c r="Z13" s="20">
        <f>IF(T13=0,0,X13/T13)</f>
        <v>-1</v>
      </c>
    </row>
    <row r="14" spans="1:26" s="70" customFormat="1" ht="15" hidden="1" customHeight="1" outlineLevel="1" x14ac:dyDescent="0.25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--20064.48</f>
        <v>20064.48</v>
      </c>
      <c r="E14" s="3"/>
      <c r="F14" s="20"/>
      <c r="G14" s="3"/>
      <c r="H14" s="3"/>
      <c r="I14" s="3"/>
      <c r="J14" s="20"/>
      <c r="K14" s="3"/>
      <c r="L14" s="3">
        <f>+D14-H14</f>
        <v>20064.48</v>
      </c>
      <c r="M14" s="3"/>
      <c r="N14" s="20">
        <f>IF(H14=0,0,L14/H14)</f>
        <v>0</v>
      </c>
      <c r="O14" s="12"/>
      <c r="P14" s="3">
        <f>--281609.35</f>
        <v>281609.34999999998</v>
      </c>
      <c r="Q14" s="3"/>
      <c r="R14" s="20"/>
      <c r="S14" s="3"/>
      <c r="T14" s="3"/>
      <c r="U14" s="3"/>
      <c r="V14" s="20"/>
      <c r="W14" s="3"/>
      <c r="X14" s="3">
        <f>+P14-T14</f>
        <v>281609.34999999998</v>
      </c>
      <c r="Y14" s="3"/>
      <c r="Z14" s="20">
        <f>IF(T14=0,0,X14/T14)</f>
        <v>0</v>
      </c>
    </row>
    <row r="15" spans="1:26" s="70" customFormat="1" ht="15" hidden="1" customHeight="1" outlineLevel="1" x14ac:dyDescent="0.25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51022</v>
      </c>
      <c r="I15" s="3"/>
      <c r="J15" s="20"/>
      <c r="K15" s="3"/>
      <c r="L15" s="3">
        <f>+D15-H15</f>
        <v>-51022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446058</v>
      </c>
      <c r="U15" s="3"/>
      <c r="V15" s="20"/>
      <c r="W15" s="3"/>
      <c r="X15" s="3">
        <f>+P15-T15</f>
        <v>-446058</v>
      </c>
      <c r="Y15" s="3"/>
      <c r="Z15" s="20">
        <f>IF(T15=0,0,X15/T15)</f>
        <v>-1</v>
      </c>
    </row>
    <row r="16" spans="1:26" s="70" customFormat="1" ht="15" hidden="1" customHeight="1" outlineLevel="1" x14ac:dyDescent="0.25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--25657.31</f>
        <v>25657.31</v>
      </c>
      <c r="E16" s="3"/>
      <c r="F16" s="20"/>
      <c r="G16" s="3"/>
      <c r="H16" s="3"/>
      <c r="I16" s="3"/>
      <c r="J16" s="20"/>
      <c r="K16" s="3"/>
      <c r="L16" s="3">
        <f>+D16-H16</f>
        <v>25657.31</v>
      </c>
      <c r="M16" s="3"/>
      <c r="N16" s="20">
        <f>IF(H16=0,0,L16/H16)</f>
        <v>0</v>
      </c>
      <c r="O16" s="12"/>
      <c r="P16" s="3">
        <f>--529555.57</f>
        <v>529555.56999999995</v>
      </c>
      <c r="Q16" s="3"/>
      <c r="R16" s="20"/>
      <c r="S16" s="3"/>
      <c r="T16" s="3"/>
      <c r="U16" s="3"/>
      <c r="V16" s="20"/>
      <c r="W16" s="3"/>
      <c r="X16" s="3">
        <f>+P16-T16</f>
        <v>529555.56999999995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37800.980000000003</v>
      </c>
      <c r="E18" s="5"/>
      <c r="F18" s="13">
        <f>IF(D$12=0,0,D18/D$12)</f>
        <v>0.82676071956062969</v>
      </c>
      <c r="G18" s="5"/>
      <c r="H18" s="5">
        <f>SUM(OSRRefH16x_0)</f>
        <v>24438</v>
      </c>
      <c r="I18" s="5"/>
      <c r="J18" s="13">
        <f>IF(H$12=0,0,H18/H$12)</f>
        <v>0.32999797447842821</v>
      </c>
      <c r="K18" s="5"/>
      <c r="L18" s="5">
        <f>+D18-H18</f>
        <v>13362.980000000003</v>
      </c>
      <c r="M18" s="5"/>
      <c r="N18" s="13">
        <f>IF(H18=0,0,L18/H18)</f>
        <v>0.54681152303789193</v>
      </c>
      <c r="O18" s="11"/>
      <c r="P18" s="5">
        <f>SUM(OSRRefP16x_0)</f>
        <v>282151.15999999997</v>
      </c>
      <c r="Q18" s="5"/>
      <c r="R18" s="13">
        <f>IF(P$12=0,0,P18/P$12)</f>
        <v>0.34783451927383646</v>
      </c>
      <c r="S18" s="5"/>
      <c r="T18" s="5">
        <f>SUM(OSRRefT16x_0)</f>
        <v>208215</v>
      </c>
      <c r="U18" s="5"/>
      <c r="V18" s="13">
        <f>IF(T$12=0,0,T18/T$12)</f>
        <v>0.32160531583629892</v>
      </c>
      <c r="W18" s="5"/>
      <c r="X18" s="5">
        <f>+P18-T18</f>
        <v>73936.159999999974</v>
      </c>
      <c r="Y18" s="5"/>
      <c r="Z18" s="13">
        <f>IF(T18=0,0,X18/T18)</f>
        <v>0.35509526210887771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24438</v>
      </c>
      <c r="I19" s="3"/>
      <c r="J19" s="20">
        <f>IF(H$12=0,0,H19/H$12)</f>
        <v>0.32999797447842821</v>
      </c>
      <c r="K19" s="3"/>
      <c r="L19" s="3">
        <f>+D19-H19</f>
        <v>-24438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208215</v>
      </c>
      <c r="U19" s="3"/>
      <c r="V19" s="20">
        <f>IF(T$12=0,0,T19/T$12)</f>
        <v>0.32160531583629892</v>
      </c>
      <c r="W19" s="3"/>
      <c r="X19" s="3">
        <f>+P19-T19</f>
        <v>-208215</v>
      </c>
      <c r="Y19" s="3"/>
      <c r="Z19" s="20">
        <f>IF(T19=0,0,X19/T19)</f>
        <v>-1</v>
      </c>
    </row>
    <row r="20" spans="1:26" s="70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27223.83</v>
      </c>
      <c r="E20" s="3"/>
      <c r="F20" s="20">
        <f>IF(D$12=0,0,D20/D$12)</f>
        <v>0.59542353875471632</v>
      </c>
      <c r="G20" s="3"/>
      <c r="H20" s="3"/>
      <c r="I20" s="3"/>
      <c r="J20" s="20">
        <f>IF(H$12=0,0,H20/H$12)</f>
        <v>0</v>
      </c>
      <c r="K20" s="3"/>
      <c r="L20" s="3">
        <f>+D20-H20</f>
        <v>27223.83</v>
      </c>
      <c r="M20" s="3"/>
      <c r="N20" s="20">
        <f>IF(H20=0,0,L20/H20)</f>
        <v>0</v>
      </c>
      <c r="O20" s="12"/>
      <c r="P20" s="3">
        <v>280578.98</v>
      </c>
      <c r="Q20" s="3"/>
      <c r="R20" s="20">
        <f>IF(P$12=0,0,P20/P$12)</f>
        <v>0.34589634374228118</v>
      </c>
      <c r="S20" s="3"/>
      <c r="T20" s="3"/>
      <c r="U20" s="3"/>
      <c r="V20" s="20">
        <f>IF(T$12=0,0,T20/T$12)</f>
        <v>0</v>
      </c>
      <c r="W20" s="3"/>
      <c r="X20" s="3">
        <f>+P20-T20</f>
        <v>280578.98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10577.15</v>
      </c>
      <c r="E21" s="3"/>
      <c r="F21" s="20">
        <f>IF(D$12=0,0,D21/D$12)</f>
        <v>0.23133718080591331</v>
      </c>
      <c r="G21" s="3"/>
      <c r="H21" s="3"/>
      <c r="I21" s="3"/>
      <c r="J21" s="20">
        <f>IF(H$12=0,0,H21/H$12)</f>
        <v>0</v>
      </c>
      <c r="K21" s="3"/>
      <c r="L21" s="3">
        <f>+D21-H21</f>
        <v>10577.15</v>
      </c>
      <c r="M21" s="3"/>
      <c r="N21" s="20">
        <f>IF(H21=0,0,L21/H21)</f>
        <v>0</v>
      </c>
      <c r="O21" s="12"/>
      <c r="P21" s="3">
        <v>1572.18</v>
      </c>
      <c r="Q21" s="3"/>
      <c r="R21" s="20">
        <f>IF(P$12=0,0,P21/P$12)</f>
        <v>1.9381755315552849E-3</v>
      </c>
      <c r="S21" s="3"/>
      <c r="T21" s="3"/>
      <c r="U21" s="3"/>
      <c r="V21" s="20">
        <f>IF(T$12=0,0,T21/T$12)</f>
        <v>0</v>
      </c>
      <c r="W21" s="3"/>
      <c r="X21" s="3">
        <f>+P21-T21</f>
        <v>1572.18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D12-D18</f>
        <v>7920.8099999999977</v>
      </c>
      <c r="E23" s="15"/>
      <c r="F23" s="21">
        <f>IF(D$12=0,0,D23/D$12)</f>
        <v>0.17323928043937031</v>
      </c>
      <c r="G23" s="15"/>
      <c r="H23" s="22">
        <f>H12-H18</f>
        <v>49617</v>
      </c>
      <c r="I23" s="15"/>
      <c r="J23" s="21">
        <f>IF(H$12=0,0,H23/H$12)</f>
        <v>0.67000202552157184</v>
      </c>
      <c r="K23" s="16"/>
      <c r="L23" s="22">
        <f>+D23-H23</f>
        <v>-41696.19</v>
      </c>
      <c r="M23" s="16"/>
      <c r="N23" s="21">
        <f>IF(H23=0,0,L23/H23)</f>
        <v>-0.84036096499183754</v>
      </c>
      <c r="O23" s="27"/>
      <c r="P23" s="22">
        <f>P12-P18</f>
        <v>529013.76000000001</v>
      </c>
      <c r="Q23" s="15"/>
      <c r="R23" s="21">
        <f>IF(P$12=0,0,P23/P$12)</f>
        <v>0.65216548072616365</v>
      </c>
      <c r="S23" s="15"/>
      <c r="T23" s="22">
        <f>T12-T18</f>
        <v>439209</v>
      </c>
      <c r="U23" s="15"/>
      <c r="V23" s="21">
        <f>IF(T$12=0,0,T23/T$12)</f>
        <v>0.67839468416370108</v>
      </c>
      <c r="W23" s="16"/>
      <c r="X23" s="22">
        <f>+P23-T23</f>
        <v>89804.760000000009</v>
      </c>
      <c r="Y23" s="16"/>
      <c r="Z23" s="21">
        <f>IF(T23=0,0,X23/T23)</f>
        <v>0.20446930732293739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74517.59</v>
      </c>
      <c r="E25" s="23"/>
      <c r="F25" s="31">
        <f t="shared" ref="F25:F56" si="0">IF(D$12=0,0,D25/D$12)</f>
        <v>1.6298047386158765</v>
      </c>
      <c r="G25" s="23"/>
      <c r="H25" s="23" cm="1">
        <f t="array" ref="H25">SUM(OSRRefH22x_0)</f>
        <v>60264.390849212621</v>
      </c>
      <c r="I25" s="23"/>
      <c r="J25" s="31">
        <f t="shared" ref="J25:J56" si="1">IF(H$12=0,0,H25/H$12)</f>
        <v>0.81377882451168215</v>
      </c>
      <c r="K25" s="5"/>
      <c r="L25" s="23">
        <f t="shared" ref="L25:L56" si="2">+D25-H25</f>
        <v>14253.199150787375</v>
      </c>
      <c r="M25" s="5"/>
      <c r="N25" s="31">
        <f t="shared" ref="N25:N56" si="3">IF(H25=0,0,L25/H25)</f>
        <v>0.23651112954000097</v>
      </c>
      <c r="O25" s="11"/>
      <c r="P25" s="23" cm="1">
        <f t="array" ref="P25">SUM(OSRRefP22x_0)</f>
        <v>876282.48999999987</v>
      </c>
      <c r="Q25" s="23"/>
      <c r="R25" s="31">
        <f t="shared" ref="R25:R56" si="4">IF(P$12=0,0,P25/P$12)</f>
        <v>1.0802766100881187</v>
      </c>
      <c r="S25" s="23"/>
      <c r="T25" s="23" cm="1">
        <f t="array" ref="T25">SUM(OSRRefT22x_0)</f>
        <v>650127.64174303075</v>
      </c>
      <c r="U25" s="23"/>
      <c r="V25" s="31">
        <f t="shared" ref="V25:V56" si="5">IF(T$12=0,0,T25/T$12)</f>
        <v>1.00417599863927</v>
      </c>
      <c r="W25" s="5"/>
      <c r="X25" s="23">
        <f t="shared" ref="X25:X56" si="6">+P25-T25</f>
        <v>226154.84825696913</v>
      </c>
      <c r="Y25" s="5"/>
      <c r="Z25" s="31">
        <f t="shared" ref="Z25:Z56" si="7">IF(T25=0,0,X25/T25)</f>
        <v>0.34786222540951278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8845.7199999999993</v>
      </c>
      <c r="E26" s="2"/>
      <c r="F26" s="6">
        <f t="shared" si="0"/>
        <v>0.1934683659585506</v>
      </c>
      <c r="G26" s="2"/>
      <c r="H26" s="2">
        <f>SUM(OSRRefH22_0x_0)</f>
        <v>6469.8901292126211</v>
      </c>
      <c r="I26" s="2"/>
      <c r="J26" s="6">
        <f t="shared" si="1"/>
        <v>8.7366013492844799E-2</v>
      </c>
      <c r="K26" s="2"/>
      <c r="L26" s="2">
        <f t="shared" si="2"/>
        <v>2375.8298707873782</v>
      </c>
      <c r="M26" s="2"/>
      <c r="N26" s="6">
        <f t="shared" si="3"/>
        <v>0.36721332562667708</v>
      </c>
      <c r="O26" s="14"/>
      <c r="P26" s="2">
        <f>SUM(OSRRefP22_0x_0)</f>
        <v>136123.04999999999</v>
      </c>
      <c r="Q26" s="2"/>
      <c r="R26" s="6">
        <f t="shared" si="4"/>
        <v>0.16781180576694565</v>
      </c>
      <c r="S26" s="2"/>
      <c r="T26" s="2">
        <f>SUM(OSRRefT22_0x_0)</f>
        <v>72243.019243030809</v>
      </c>
      <c r="U26" s="2"/>
      <c r="V26" s="6">
        <f t="shared" si="5"/>
        <v>0.11158532776515978</v>
      </c>
      <c r="W26" s="2"/>
      <c r="X26" s="2">
        <f t="shared" si="6"/>
        <v>63880.030756969179</v>
      </c>
      <c r="Y26" s="2"/>
      <c r="Z26" s="6">
        <f t="shared" si="7"/>
        <v>0.88423810945763603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1753.78</v>
      </c>
      <c r="E27" s="3"/>
      <c r="F27" s="7">
        <f t="shared" si="0"/>
        <v>3.8357640853518636E-2</v>
      </c>
      <c r="G27" s="3"/>
      <c r="H27" s="8">
        <v>920.00138482800003</v>
      </c>
      <c r="I27" s="3"/>
      <c r="J27" s="7">
        <f t="shared" si="1"/>
        <v>1.2423217673728986E-2</v>
      </c>
      <c r="K27" s="3"/>
      <c r="L27" s="8">
        <f t="shared" si="2"/>
        <v>833.77861517199995</v>
      </c>
      <c r="M27" s="3"/>
      <c r="N27" s="7">
        <f t="shared" si="3"/>
        <v>0.90627973927221861</v>
      </c>
      <c r="O27" s="12"/>
      <c r="P27" s="8">
        <v>20964.53</v>
      </c>
      <c r="Q27" s="3"/>
      <c r="R27" s="7">
        <f t="shared" si="4"/>
        <v>2.584496627393601E-2</v>
      </c>
      <c r="S27" s="3"/>
      <c r="T27" s="8">
        <v>10362.082408800001</v>
      </c>
      <c r="U27" s="3"/>
      <c r="V27" s="7">
        <f t="shared" si="5"/>
        <v>1.6005094665628709E-2</v>
      </c>
      <c r="W27" s="3"/>
      <c r="X27" s="8">
        <f t="shared" si="6"/>
        <v>10602.447591199998</v>
      </c>
      <c r="Y27" s="3"/>
      <c r="Z27" s="7">
        <f t="shared" si="7"/>
        <v>1.0231966098045955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1935.36</v>
      </c>
      <c r="E28" s="3"/>
      <c r="F28" s="7">
        <f t="shared" si="0"/>
        <v>4.232905142165256E-2</v>
      </c>
      <c r="G28" s="3"/>
      <c r="H28" s="8">
        <v>755.28939578999996</v>
      </c>
      <c r="I28" s="3"/>
      <c r="J28" s="7">
        <f t="shared" si="1"/>
        <v>1.0199033094186752E-2</v>
      </c>
      <c r="K28" s="3"/>
      <c r="L28" s="8">
        <f t="shared" si="2"/>
        <v>1180.0706042100001</v>
      </c>
      <c r="M28" s="3"/>
      <c r="N28" s="7">
        <f t="shared" si="3"/>
        <v>1.562408542722485</v>
      </c>
      <c r="O28" s="12"/>
      <c r="P28" s="8">
        <v>12606.5</v>
      </c>
      <c r="Q28" s="3"/>
      <c r="R28" s="7">
        <f t="shared" si="4"/>
        <v>1.5541229273080499E-2</v>
      </c>
      <c r="S28" s="3"/>
      <c r="T28" s="8">
        <v>7457.9639897500001</v>
      </c>
      <c r="U28" s="3"/>
      <c r="V28" s="7">
        <f t="shared" si="5"/>
        <v>1.15194431929462E-2</v>
      </c>
      <c r="W28" s="3"/>
      <c r="X28" s="8">
        <f t="shared" si="6"/>
        <v>5148.5360102499999</v>
      </c>
      <c r="Y28" s="3"/>
      <c r="Z28" s="7">
        <f t="shared" si="7"/>
        <v>0.69034069047879443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4330.21</v>
      </c>
      <c r="E29" s="3"/>
      <c r="F29" s="7">
        <f t="shared" si="0"/>
        <v>9.4707796873219535E-2</v>
      </c>
      <c r="G29" s="3"/>
      <c r="H29" s="8">
        <v>3528.18461538462</v>
      </c>
      <c r="I29" s="3"/>
      <c r="J29" s="7">
        <f t="shared" si="1"/>
        <v>4.7642760318474378E-2</v>
      </c>
      <c r="K29" s="3"/>
      <c r="L29" s="8">
        <f t="shared" si="2"/>
        <v>802.02538461538006</v>
      </c>
      <c r="M29" s="3"/>
      <c r="N29" s="7">
        <f t="shared" si="3"/>
        <v>0.22731956290443389</v>
      </c>
      <c r="O29" s="12"/>
      <c r="P29" s="8">
        <v>64423.12</v>
      </c>
      <c r="Q29" s="3"/>
      <c r="R29" s="7">
        <f t="shared" si="4"/>
        <v>7.9420495649639294E-2</v>
      </c>
      <c r="S29" s="3"/>
      <c r="T29" s="8">
        <v>39996.230769230802</v>
      </c>
      <c r="U29" s="3"/>
      <c r="V29" s="7">
        <f t="shared" si="5"/>
        <v>6.1777491673510411E-2</v>
      </c>
      <c r="W29" s="3"/>
      <c r="X29" s="8">
        <f t="shared" si="6"/>
        <v>24426.8892307692</v>
      </c>
      <c r="Y29" s="3"/>
      <c r="Z29" s="7">
        <f t="shared" si="7"/>
        <v>0.61072978030621994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139.78</v>
      </c>
      <c r="E30" s="3"/>
      <c r="F30" s="7">
        <f t="shared" si="0"/>
        <v>3.0571856438691486E-3</v>
      </c>
      <c r="G30" s="3"/>
      <c r="H30" s="8">
        <v>41.849808209999999</v>
      </c>
      <c r="I30" s="3"/>
      <c r="J30" s="7">
        <f t="shared" si="1"/>
        <v>5.6511792870164062E-4</v>
      </c>
      <c r="K30" s="3"/>
      <c r="L30" s="8">
        <f t="shared" si="2"/>
        <v>97.930191790000009</v>
      </c>
      <c r="M30" s="3"/>
      <c r="N30" s="7">
        <f t="shared" si="3"/>
        <v>2.3400392015798919</v>
      </c>
      <c r="O30" s="12"/>
      <c r="P30" s="8">
        <v>910.48</v>
      </c>
      <c r="Q30" s="3"/>
      <c r="R30" s="7">
        <f t="shared" si="4"/>
        <v>1.1224351270022871E-3</v>
      </c>
      <c r="S30" s="3"/>
      <c r="T30" s="8">
        <v>413.23811024999998</v>
      </c>
      <c r="U30" s="3"/>
      <c r="V30" s="7">
        <f t="shared" si="5"/>
        <v>6.3828049354055453E-4</v>
      </c>
      <c r="W30" s="3"/>
      <c r="X30" s="8">
        <f t="shared" si="6"/>
        <v>497.24188975000004</v>
      </c>
      <c r="Y30" s="3"/>
      <c r="Z30" s="7">
        <f t="shared" si="7"/>
        <v>1.2032817821405186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-199.33</v>
      </c>
      <c r="E31" s="3"/>
      <c r="F31" s="7">
        <f t="shared" si="0"/>
        <v>-4.3596280898013842E-3</v>
      </c>
      <c r="G31" s="3"/>
      <c r="H31" s="8">
        <v>437.49662000000001</v>
      </c>
      <c r="I31" s="3"/>
      <c r="J31" s="7">
        <f t="shared" si="1"/>
        <v>5.9077256093444065E-3</v>
      </c>
      <c r="K31" s="3"/>
      <c r="L31" s="8">
        <f t="shared" si="2"/>
        <v>-636.82662000000005</v>
      </c>
      <c r="M31" s="3"/>
      <c r="N31" s="7">
        <f t="shared" si="3"/>
        <v>-1.4556149485223453</v>
      </c>
      <c r="O31" s="12"/>
      <c r="P31" s="8">
        <v>7130.78</v>
      </c>
      <c r="Q31" s="3"/>
      <c r="R31" s="7">
        <f t="shared" si="4"/>
        <v>8.7907894241777626E-3</v>
      </c>
      <c r="S31" s="3"/>
      <c r="T31" s="8">
        <v>5249.9594399999996</v>
      </c>
      <c r="U31" s="3"/>
      <c r="V31" s="7">
        <f t="shared" si="5"/>
        <v>8.1089972568208768E-3</v>
      </c>
      <c r="W31" s="3"/>
      <c r="X31" s="8">
        <f t="shared" si="6"/>
        <v>1880.8205600000001</v>
      </c>
      <c r="Y31" s="3"/>
      <c r="Z31" s="7">
        <f t="shared" si="7"/>
        <v>0.35825430300848193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","6117"," - ","RETIREMENT STAFF HOURLY")</f>
        <v xml:space="preserve">          6117 - RETIREMENT STAFF HOURLY</v>
      </c>
      <c r="C33" s="12"/>
      <c r="D33" s="8">
        <v>89.33</v>
      </c>
      <c r="E33" s="3"/>
      <c r="F33" s="7">
        <f t="shared" si="0"/>
        <v>1.9537730259467094E-3</v>
      </c>
      <c r="G33" s="3"/>
      <c r="H33" s="8"/>
      <c r="I33" s="3"/>
      <c r="J33" s="7">
        <f t="shared" si="1"/>
        <v>0</v>
      </c>
      <c r="K33" s="3"/>
      <c r="L33" s="8">
        <f t="shared" si="2"/>
        <v>89.33</v>
      </c>
      <c r="M33" s="3"/>
      <c r="N33" s="7">
        <f t="shared" si="3"/>
        <v>0</v>
      </c>
      <c r="O33" s="12"/>
      <c r="P33" s="8">
        <v>282.25</v>
      </c>
      <c r="Q33" s="3"/>
      <c r="R33" s="7">
        <f t="shared" si="4"/>
        <v>3.4795636872462387E-4</v>
      </c>
      <c r="S33" s="3"/>
      <c r="T33" s="8"/>
      <c r="U33" s="3"/>
      <c r="V33" s="7">
        <f t="shared" si="5"/>
        <v>0</v>
      </c>
      <c r="W33" s="3"/>
      <c r="X33" s="8">
        <f t="shared" si="6"/>
        <v>282.25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","6118"," - ","VACATION")</f>
        <v xml:space="preserve">          6118 - VACATION</v>
      </c>
      <c r="C34" s="12"/>
      <c r="D34" s="8">
        <v>205.6</v>
      </c>
      <c r="E34" s="3"/>
      <c r="F34" s="7">
        <f t="shared" si="0"/>
        <v>4.4967618284410997E-3</v>
      </c>
      <c r="G34" s="3"/>
      <c r="H34" s="8">
        <v>237.587628</v>
      </c>
      <c r="I34" s="3"/>
      <c r="J34" s="7">
        <f t="shared" si="1"/>
        <v>3.2082591047194651E-3</v>
      </c>
      <c r="K34" s="3"/>
      <c r="L34" s="8">
        <f t="shared" si="2"/>
        <v>-31.987628000000001</v>
      </c>
      <c r="M34" s="3"/>
      <c r="N34" s="7">
        <f t="shared" si="3"/>
        <v>-0.13463507451659057</v>
      </c>
      <c r="O34" s="12"/>
      <c r="P34" s="8">
        <v>12096.98</v>
      </c>
      <c r="Q34" s="3"/>
      <c r="R34" s="7">
        <f t="shared" si="4"/>
        <v>1.491309560083047E-2</v>
      </c>
      <c r="S34" s="3"/>
      <c r="T34" s="8">
        <v>2831.058</v>
      </c>
      <c r="U34" s="3"/>
      <c r="V34" s="7">
        <f t="shared" si="5"/>
        <v>4.3728036032028468E-3</v>
      </c>
      <c r="W34" s="3"/>
      <c r="X34" s="8">
        <f t="shared" si="6"/>
        <v>9265.9219999999987</v>
      </c>
      <c r="Y34" s="3"/>
      <c r="Z34" s="7">
        <f t="shared" si="7"/>
        <v>3.2729537861817026</v>
      </c>
    </row>
    <row r="35" spans="1:26" s="70" customFormat="1" ht="15" hidden="1" customHeight="1" outlineLevel="2" x14ac:dyDescent="0.25">
      <c r="A35" s="25"/>
      <c r="B35" s="12" t="str">
        <f>CONCATENATE("          ","6119"," - ","SICK LEAVE")</f>
        <v xml:space="preserve">          6119 - SICK LEAVE</v>
      </c>
      <c r="C35" s="12"/>
      <c r="D35" s="8">
        <v>164.58</v>
      </c>
      <c r="E35" s="3"/>
      <c r="F35" s="7">
        <f t="shared" si="0"/>
        <v>3.5995966037200206E-3</v>
      </c>
      <c r="G35" s="3"/>
      <c r="H35" s="8">
        <v>278.48067700000001</v>
      </c>
      <c r="I35" s="3"/>
      <c r="J35" s="7">
        <f t="shared" si="1"/>
        <v>3.7604574572952538E-3</v>
      </c>
      <c r="K35" s="3"/>
      <c r="L35" s="8">
        <f t="shared" si="2"/>
        <v>-113.900677</v>
      </c>
      <c r="M35" s="3"/>
      <c r="N35" s="7">
        <f t="shared" si="3"/>
        <v>-0.40900746948413946</v>
      </c>
      <c r="O35" s="12"/>
      <c r="P35" s="8">
        <v>9950.7999999999993</v>
      </c>
      <c r="Q35" s="3"/>
      <c r="R35" s="7">
        <f t="shared" si="4"/>
        <v>1.2267295779999954E-2</v>
      </c>
      <c r="S35" s="3"/>
      <c r="T35" s="8">
        <v>2911.4865249999998</v>
      </c>
      <c r="U35" s="3"/>
      <c r="V35" s="7">
        <f t="shared" si="5"/>
        <v>4.4970321226893038E-3</v>
      </c>
      <c r="W35" s="3"/>
      <c r="X35" s="8">
        <f t="shared" si="6"/>
        <v>7039.313474999999</v>
      </c>
      <c r="Y35" s="3"/>
      <c r="Z35" s="7">
        <f t="shared" si="7"/>
        <v>2.417772987975618</v>
      </c>
    </row>
    <row r="36" spans="1:26" s="70" customFormat="1" ht="15" hidden="1" customHeight="1" outlineLevel="2" x14ac:dyDescent="0.25">
      <c r="A36" s="25"/>
      <c r="B36" s="12" t="str">
        <f>CONCATENATE("          ","6156"," - ","EMPLOYEE MEALS")</f>
        <v xml:space="preserve">          6156 - EMPLOYEE MEALS</v>
      </c>
      <c r="C36" s="12"/>
      <c r="D36" s="8">
        <v>426.41</v>
      </c>
      <c r="E36" s="3"/>
      <c r="F36" s="7">
        <f t="shared" si="0"/>
        <v>9.3261877979842877E-3</v>
      </c>
      <c r="G36" s="3"/>
      <c r="H36" s="8">
        <v>271</v>
      </c>
      <c r="I36" s="3"/>
      <c r="J36" s="7">
        <f t="shared" si="1"/>
        <v>3.6594423063938965E-3</v>
      </c>
      <c r="K36" s="3"/>
      <c r="L36" s="8">
        <f t="shared" si="2"/>
        <v>155.41000000000003</v>
      </c>
      <c r="M36" s="3"/>
      <c r="N36" s="7">
        <f t="shared" si="3"/>
        <v>0.5734686346863469</v>
      </c>
      <c r="O36" s="12"/>
      <c r="P36" s="8">
        <v>7757.61</v>
      </c>
      <c r="Q36" s="3"/>
      <c r="R36" s="7">
        <f t="shared" si="4"/>
        <v>9.563542269554753E-3</v>
      </c>
      <c r="S36" s="3"/>
      <c r="T36" s="8">
        <v>3021</v>
      </c>
      <c r="U36" s="3"/>
      <c r="V36" s="7">
        <f t="shared" si="5"/>
        <v>4.666184756820878E-3</v>
      </c>
      <c r="W36" s="3"/>
      <c r="X36" s="8">
        <f t="shared" si="6"/>
        <v>4736.6099999999997</v>
      </c>
      <c r="Y36" s="3"/>
      <c r="Z36" s="7">
        <f t="shared" si="7"/>
        <v>1.5678947368421052</v>
      </c>
    </row>
    <row r="37" spans="1:26" s="69" customFormat="1" ht="15" customHeight="1" outlineLevel="1" collapsed="1" x14ac:dyDescent="0.25">
      <c r="A37" s="26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22093.42</v>
      </c>
      <c r="E37" s="2"/>
      <c r="F37" s="6">
        <f t="shared" si="0"/>
        <v>0.48321423986243756</v>
      </c>
      <c r="G37" s="2"/>
      <c r="H37" s="2">
        <f>SUM(OSRRefH22_1x_0)</f>
        <v>19532.50072</v>
      </c>
      <c r="I37" s="2"/>
      <c r="J37" s="6">
        <f t="shared" si="1"/>
        <v>0.26375667706434408</v>
      </c>
      <c r="K37" s="2"/>
      <c r="L37" s="2">
        <f t="shared" si="2"/>
        <v>2560.9192799999983</v>
      </c>
      <c r="M37" s="2"/>
      <c r="N37" s="6">
        <f t="shared" si="3"/>
        <v>0.13111067121977807</v>
      </c>
      <c r="O37" s="14"/>
      <c r="P37" s="2">
        <f>SUM(OSRRefP22_1x_0)</f>
        <v>322200.19</v>
      </c>
      <c r="Q37" s="2"/>
      <c r="R37" s="6">
        <f t="shared" si="4"/>
        <v>0.39720676037124492</v>
      </c>
      <c r="S37" s="2"/>
      <c r="T37" s="2">
        <f>SUM(OSRRefT22_1x_0)</f>
        <v>192061.6225</v>
      </c>
      <c r="U37" s="2"/>
      <c r="V37" s="6">
        <f t="shared" si="5"/>
        <v>0.29665508615683078</v>
      </c>
      <c r="W37" s="2"/>
      <c r="X37" s="2">
        <f t="shared" si="6"/>
        <v>130138.5675</v>
      </c>
      <c r="Y37" s="2"/>
      <c r="Z37" s="6">
        <f t="shared" si="7"/>
        <v>0.67758756697996758</v>
      </c>
    </row>
    <row r="38" spans="1:26" s="70" customFormat="1" ht="15" hidden="1" customHeight="1" outlineLevel="2" x14ac:dyDescent="0.25">
      <c r="A38" s="25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","6002"," - ","STAFF SALARIES")</f>
        <v xml:space="preserve">          6002 - STAFF SALARIES</v>
      </c>
      <c r="C39" s="12"/>
      <c r="D39" s="8">
        <v>-2625.26</v>
      </c>
      <c r="E39" s="3"/>
      <c r="F39" s="7">
        <f t="shared" si="0"/>
        <v>-5.7418136953955659E-2</v>
      </c>
      <c r="G39" s="3"/>
      <c r="H39" s="8">
        <v>4832.8114999999998</v>
      </c>
      <c r="I39" s="3"/>
      <c r="J39" s="7">
        <f t="shared" si="1"/>
        <v>6.5259759638106804E-2</v>
      </c>
      <c r="K39" s="3"/>
      <c r="L39" s="8">
        <f t="shared" si="2"/>
        <v>-7458.0715</v>
      </c>
      <c r="M39" s="3"/>
      <c r="N39" s="7">
        <f t="shared" si="3"/>
        <v>-1.5432158899638442</v>
      </c>
      <c r="O39" s="12"/>
      <c r="P39" s="8">
        <v>76304.429999999993</v>
      </c>
      <c r="Q39" s="3"/>
      <c r="R39" s="7">
        <f t="shared" si="4"/>
        <v>9.406771436812135E-2</v>
      </c>
      <c r="S39" s="3"/>
      <c r="T39" s="8">
        <v>57993.737999999998</v>
      </c>
      <c r="U39" s="3"/>
      <c r="V39" s="7">
        <f t="shared" si="5"/>
        <v>8.9576132488137603E-2</v>
      </c>
      <c r="W39" s="3"/>
      <c r="X39" s="8">
        <f t="shared" si="6"/>
        <v>18310.691999999995</v>
      </c>
      <c r="Y39" s="3"/>
      <c r="Z39" s="7">
        <f t="shared" si="7"/>
        <v>0.31573567477233483</v>
      </c>
    </row>
    <row r="40" spans="1:26" s="70" customFormat="1" ht="15" hidden="1" customHeight="1" outlineLevel="2" x14ac:dyDescent="0.25">
      <c r="A40" s="25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","6004"," - ","STAFF HOURLY")</f>
        <v xml:space="preserve">          6004 - STAFF HOURLY</v>
      </c>
      <c r="C41" s="12"/>
      <c r="D41" s="8">
        <v>4068.08</v>
      </c>
      <c r="E41" s="3"/>
      <c r="F41" s="7">
        <f t="shared" si="0"/>
        <v>8.8974644256053836E-2</v>
      </c>
      <c r="G41" s="3"/>
      <c r="H41" s="8">
        <v>6313.2967200000003</v>
      </c>
      <c r="I41" s="3"/>
      <c r="J41" s="7">
        <f t="shared" si="1"/>
        <v>8.5251457970427394E-2</v>
      </c>
      <c r="K41" s="3"/>
      <c r="L41" s="8">
        <f t="shared" si="2"/>
        <v>-2245.2167200000004</v>
      </c>
      <c r="M41" s="3"/>
      <c r="N41" s="7">
        <f t="shared" si="3"/>
        <v>-0.35563301070379599</v>
      </c>
      <c r="O41" s="12"/>
      <c r="P41" s="8">
        <v>74843.520000000004</v>
      </c>
      <c r="Q41" s="3"/>
      <c r="R41" s="7">
        <f t="shared" si="4"/>
        <v>9.2266711928321574E-2</v>
      </c>
      <c r="S41" s="3"/>
      <c r="T41" s="8">
        <v>71409.432000000001</v>
      </c>
      <c r="U41" s="3"/>
      <c r="V41" s="7">
        <f t="shared" si="5"/>
        <v>0.11029778321470937</v>
      </c>
      <c r="W41" s="3"/>
      <c r="X41" s="8">
        <f t="shared" si="6"/>
        <v>3434.0880000000034</v>
      </c>
      <c r="Y41" s="3"/>
      <c r="Z41" s="7">
        <f t="shared" si="7"/>
        <v>4.8090117843256383E-2</v>
      </c>
    </row>
    <row r="42" spans="1:26" s="70" customFormat="1" ht="15" hidden="1" customHeight="1" outlineLevel="2" x14ac:dyDescent="0.25">
      <c r="A42" s="25"/>
      <c r="B42" s="12" t="str">
        <f>CONCATENATE("          ","6005"," - ","TEMPORARY WAGES-HOURLY")</f>
        <v xml:space="preserve">          6005 - TEMPORARY WAGES-HOURLY</v>
      </c>
      <c r="C42" s="12"/>
      <c r="D42" s="8">
        <v>11414.84</v>
      </c>
      <c r="E42" s="3"/>
      <c r="F42" s="7">
        <f t="shared" si="0"/>
        <v>0.24965864197355353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11414.84</v>
      </c>
      <c r="M42" s="3"/>
      <c r="N42" s="7">
        <f t="shared" si="3"/>
        <v>0</v>
      </c>
      <c r="O42" s="12"/>
      <c r="P42" s="8">
        <v>95059.87</v>
      </c>
      <c r="Q42" s="3"/>
      <c r="R42" s="7">
        <f t="shared" si="4"/>
        <v>0.11718932569224025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95059.87</v>
      </c>
      <c r="Y42" s="3"/>
      <c r="Z42" s="7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","6007"," - ","STUDENT HOURLY")</f>
        <v xml:space="preserve">          6007 - STUDENT HOURLY</v>
      </c>
      <c r="C44" s="12"/>
      <c r="D44" s="8">
        <v>7023.32</v>
      </c>
      <c r="E44" s="3"/>
      <c r="F44" s="7">
        <f t="shared" si="0"/>
        <v>0.15360990897338009</v>
      </c>
      <c r="G44" s="3"/>
      <c r="H44" s="8">
        <v>479.36</v>
      </c>
      <c r="I44" s="3"/>
      <c r="J44" s="7">
        <f t="shared" si="1"/>
        <v>6.4730268044021341E-3</v>
      </c>
      <c r="K44" s="3"/>
      <c r="L44" s="8">
        <f t="shared" si="2"/>
        <v>6543.96</v>
      </c>
      <c r="M44" s="3"/>
      <c r="N44" s="7">
        <f t="shared" si="3"/>
        <v>13.651451935914553</v>
      </c>
      <c r="O44" s="12"/>
      <c r="P44" s="8">
        <v>66723</v>
      </c>
      <c r="Q44" s="3"/>
      <c r="R44" s="7">
        <f t="shared" si="4"/>
        <v>8.2255776051064933E-2</v>
      </c>
      <c r="S44" s="3"/>
      <c r="T44" s="8">
        <v>1277.3599999999999</v>
      </c>
      <c r="U44" s="3"/>
      <c r="V44" s="7">
        <f t="shared" si="5"/>
        <v>1.9729883353103994E-3</v>
      </c>
      <c r="W44" s="3"/>
      <c r="X44" s="8">
        <f t="shared" si="6"/>
        <v>65445.64</v>
      </c>
      <c r="Y44" s="3"/>
      <c r="Z44" s="7">
        <f t="shared" si="7"/>
        <v>51.235078599611704</v>
      </c>
    </row>
    <row r="45" spans="1:26" s="70" customFormat="1" ht="15" hidden="1" customHeight="1" outlineLevel="2" x14ac:dyDescent="0.25">
      <c r="A45" s="25"/>
      <c r="B45" s="12" t="str">
        <f>CONCATENATE("          ","6008"," - ","STUDENT HOURLY-FICA EXEMPT")</f>
        <v xml:space="preserve">          6008 - STUDENT HOURLY-FICA EXEMPT</v>
      </c>
      <c r="C45" s="12"/>
      <c r="D45" s="8">
        <v>2212.44</v>
      </c>
      <c r="E45" s="3"/>
      <c r="F45" s="7">
        <f t="shared" si="0"/>
        <v>4.8389181613405774E-2</v>
      </c>
      <c r="G45" s="3"/>
      <c r="H45" s="8">
        <v>7907.0325000000003</v>
      </c>
      <c r="I45" s="3"/>
      <c r="J45" s="7">
        <f t="shared" si="1"/>
        <v>0.10677243265140775</v>
      </c>
      <c r="K45" s="3"/>
      <c r="L45" s="8">
        <f t="shared" si="2"/>
        <v>-5694.5925000000007</v>
      </c>
      <c r="M45" s="3"/>
      <c r="N45" s="7">
        <f t="shared" si="3"/>
        <v>-0.72019338481282336</v>
      </c>
      <c r="O45" s="12"/>
      <c r="P45" s="8">
        <v>9269.3700000000008</v>
      </c>
      <c r="Q45" s="3"/>
      <c r="R45" s="7">
        <f t="shared" si="4"/>
        <v>1.1427232331496784E-2</v>
      </c>
      <c r="S45" s="3"/>
      <c r="T45" s="8">
        <v>61381.092499999999</v>
      </c>
      <c r="U45" s="3"/>
      <c r="V45" s="7">
        <f t="shared" si="5"/>
        <v>9.4808182118673381E-2</v>
      </c>
      <c r="W45" s="3"/>
      <c r="X45" s="8">
        <f t="shared" si="6"/>
        <v>-52111.722499999996</v>
      </c>
      <c r="Y45" s="3"/>
      <c r="Z45" s="7">
        <f t="shared" si="7"/>
        <v>-0.84898655884953489</v>
      </c>
    </row>
    <row r="46" spans="1:26" s="70" customFormat="1" ht="15" hidden="1" customHeight="1" outlineLevel="2" x14ac:dyDescent="0.25">
      <c r="A46" s="25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25">
      <c r="A47" s="25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25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43.35</v>
      </c>
      <c r="E48" s="2"/>
      <c r="F48" s="6">
        <f t="shared" si="0"/>
        <v>9.4812560925545562E-4</v>
      </c>
      <c r="G48" s="2"/>
      <c r="H48" s="2">
        <f>SUM(OSRRefH22_2x_0)</f>
        <v>0</v>
      </c>
      <c r="I48" s="2"/>
      <c r="J48" s="6">
        <f t="shared" si="1"/>
        <v>0</v>
      </c>
      <c r="K48" s="2"/>
      <c r="L48" s="2">
        <f t="shared" si="2"/>
        <v>43.35</v>
      </c>
      <c r="M48" s="2"/>
      <c r="N48" s="6">
        <f t="shared" si="3"/>
        <v>0</v>
      </c>
      <c r="O48" s="14"/>
      <c r="P48" s="2">
        <f>SUM(OSRRefP22_2x_0)</f>
        <v>1615.16</v>
      </c>
      <c r="Q48" s="2"/>
      <c r="R48" s="6">
        <f t="shared" si="4"/>
        <v>1.991161057605894E-3</v>
      </c>
      <c r="S48" s="2"/>
      <c r="T48" s="2">
        <f>SUM(OSRRefT22_2x_0)</f>
        <v>0</v>
      </c>
      <c r="U48" s="2"/>
      <c r="V48" s="6">
        <f t="shared" si="5"/>
        <v>0</v>
      </c>
      <c r="W48" s="2"/>
      <c r="X48" s="2">
        <f t="shared" si="6"/>
        <v>1615.16</v>
      </c>
      <c r="Y48" s="2"/>
      <c r="Z48" s="6">
        <f t="shared" si="7"/>
        <v>0</v>
      </c>
    </row>
    <row r="49" spans="1:26" s="70" customFormat="1" ht="15" hidden="1" customHeight="1" outlineLevel="2" x14ac:dyDescent="0.25">
      <c r="A49" s="25"/>
      <c r="B49" s="12" t="str">
        <f>CONCATENATE("          ","6362"," - ","ADVERTISING EXPENSE")</f>
        <v xml:space="preserve">          6362 - ADVERTISING EXPENSE</v>
      </c>
      <c r="C49" s="12"/>
      <c r="D49" s="8">
        <v>43.35</v>
      </c>
      <c r="E49" s="3"/>
      <c r="F49" s="7">
        <f t="shared" si="0"/>
        <v>9.4812560925545562E-4</v>
      </c>
      <c r="G49" s="3"/>
      <c r="H49" s="8"/>
      <c r="I49" s="3"/>
      <c r="J49" s="7">
        <f t="shared" si="1"/>
        <v>0</v>
      </c>
      <c r="K49" s="3"/>
      <c r="L49" s="8">
        <f t="shared" si="2"/>
        <v>43.35</v>
      </c>
      <c r="M49" s="3"/>
      <c r="N49" s="7">
        <f t="shared" si="3"/>
        <v>0</v>
      </c>
      <c r="O49" s="12"/>
      <c r="P49" s="8">
        <v>1615.16</v>
      </c>
      <c r="Q49" s="3"/>
      <c r="R49" s="7">
        <f t="shared" si="4"/>
        <v>1.991161057605894E-3</v>
      </c>
      <c r="S49" s="3"/>
      <c r="T49" s="8"/>
      <c r="U49" s="3"/>
      <c r="V49" s="7">
        <f t="shared" si="5"/>
        <v>0</v>
      </c>
      <c r="W49" s="3"/>
      <c r="X49" s="8">
        <f t="shared" si="6"/>
        <v>1615.16</v>
      </c>
      <c r="Y49" s="3"/>
      <c r="Z49" s="7">
        <f t="shared" si="7"/>
        <v>0</v>
      </c>
    </row>
    <row r="50" spans="1:26" s="69" customFormat="1" ht="15" customHeight="1" outlineLevel="1" collapsed="1" x14ac:dyDescent="0.25">
      <c r="A50" s="26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-4.49</v>
      </c>
      <c r="E50" s="2"/>
      <c r="F50" s="6">
        <f t="shared" si="0"/>
        <v>-9.8202629424613524E-5</v>
      </c>
      <c r="G50" s="2"/>
      <c r="H50" s="2">
        <f>SUM(OSRRefH22_3x_0)</f>
        <v>0</v>
      </c>
      <c r="I50" s="2"/>
      <c r="J50" s="6">
        <f t="shared" si="1"/>
        <v>0</v>
      </c>
      <c r="K50" s="2"/>
      <c r="L50" s="2">
        <f t="shared" si="2"/>
        <v>-4.49</v>
      </c>
      <c r="M50" s="2"/>
      <c r="N50" s="6">
        <f t="shared" si="3"/>
        <v>0</v>
      </c>
      <c r="O50" s="14"/>
      <c r="P50" s="2">
        <f>SUM(OSRRefP22_3x_0)</f>
        <v>-8.0399999999999991</v>
      </c>
      <c r="Q50" s="2"/>
      <c r="R50" s="6">
        <f t="shared" si="4"/>
        <v>-9.911671229569445E-6</v>
      </c>
      <c r="S50" s="2"/>
      <c r="T50" s="2">
        <f>SUM(OSRRefT22_3x_0)</f>
        <v>70</v>
      </c>
      <c r="U50" s="2"/>
      <c r="V50" s="6">
        <f t="shared" si="5"/>
        <v>1.0812079873467774E-4</v>
      </c>
      <c r="W50" s="2"/>
      <c r="X50" s="2">
        <f t="shared" si="6"/>
        <v>-78.039999999999992</v>
      </c>
      <c r="Y50" s="2"/>
      <c r="Z50" s="6">
        <f t="shared" si="7"/>
        <v>-1.1148571428571428</v>
      </c>
    </row>
    <row r="51" spans="1:26" s="70" customFormat="1" ht="15" hidden="1" customHeight="1" outlineLevel="2" x14ac:dyDescent="0.25">
      <c r="A51" s="25"/>
      <c r="B51" s="12" t="str">
        <f>CONCATENATE("          ","6272"," - ","CASH (OVER/SHORT)")</f>
        <v xml:space="preserve">          6272 - CASH (OVER/SHORT)</v>
      </c>
      <c r="C51" s="12"/>
      <c r="D51" s="8">
        <v>-4.49</v>
      </c>
      <c r="E51" s="3"/>
      <c r="F51" s="7">
        <f t="shared" si="0"/>
        <v>-9.8202629424613524E-5</v>
      </c>
      <c r="G51" s="3"/>
      <c r="H51" s="8"/>
      <c r="I51" s="3"/>
      <c r="J51" s="7">
        <f t="shared" si="1"/>
        <v>0</v>
      </c>
      <c r="K51" s="3"/>
      <c r="L51" s="8">
        <f t="shared" si="2"/>
        <v>-4.49</v>
      </c>
      <c r="M51" s="3"/>
      <c r="N51" s="7">
        <f t="shared" si="3"/>
        <v>0</v>
      </c>
      <c r="O51" s="12"/>
      <c r="P51" s="8">
        <v>-8.0399999999999991</v>
      </c>
      <c r="Q51" s="3"/>
      <c r="R51" s="7">
        <f t="shared" si="4"/>
        <v>-9.911671229569445E-6</v>
      </c>
      <c r="S51" s="3"/>
      <c r="T51" s="8">
        <v>70</v>
      </c>
      <c r="U51" s="3"/>
      <c r="V51" s="7">
        <f t="shared" si="5"/>
        <v>1.0812079873467774E-4</v>
      </c>
      <c r="W51" s="3"/>
      <c r="X51" s="8">
        <f t="shared" si="6"/>
        <v>-78.039999999999992</v>
      </c>
      <c r="Y51" s="3"/>
      <c r="Z51" s="7">
        <f t="shared" si="7"/>
        <v>-1.1148571428571428</v>
      </c>
    </row>
    <row r="52" spans="1:26" s="69" customFormat="1" ht="15" customHeight="1" outlineLevel="1" collapsed="1" x14ac:dyDescent="0.25">
      <c r="A52" s="26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4414.9799999999996</v>
      </c>
      <c r="E52" s="2"/>
      <c r="F52" s="6">
        <f t="shared" si="0"/>
        <v>9.6561836271064613E-2</v>
      </c>
      <c r="G52" s="2"/>
      <c r="H52" s="2">
        <f>SUM(OSRRefH22_4x_0)</f>
        <v>3714</v>
      </c>
      <c r="I52" s="2"/>
      <c r="J52" s="6">
        <f t="shared" si="1"/>
        <v>5.0151914117885353E-2</v>
      </c>
      <c r="K52" s="2"/>
      <c r="L52" s="2">
        <f t="shared" si="2"/>
        <v>700.97999999999956</v>
      </c>
      <c r="M52" s="2"/>
      <c r="N52" s="6">
        <f t="shared" si="3"/>
        <v>0.18873990306946675</v>
      </c>
      <c r="O52" s="14"/>
      <c r="P52" s="2">
        <f>SUM(OSRRefP22_4x_0)</f>
        <v>26863.29</v>
      </c>
      <c r="Q52" s="2"/>
      <c r="R52" s="6">
        <f t="shared" si="4"/>
        <v>3.3116927689624452E-2</v>
      </c>
      <c r="S52" s="2"/>
      <c r="T52" s="2">
        <f>SUM(OSRRefT22_4x_0)</f>
        <v>32468</v>
      </c>
      <c r="U52" s="2"/>
      <c r="V52" s="6">
        <f t="shared" si="5"/>
        <v>5.0149515618821666E-2</v>
      </c>
      <c r="W52" s="2"/>
      <c r="X52" s="2">
        <f t="shared" si="6"/>
        <v>-5604.7099999999991</v>
      </c>
      <c r="Y52" s="2"/>
      <c r="Z52" s="6">
        <f t="shared" si="7"/>
        <v>-0.1726225822348158</v>
      </c>
    </row>
    <row r="53" spans="1:26" s="70" customFormat="1" ht="15" hidden="1" customHeight="1" outlineLevel="2" x14ac:dyDescent="0.25">
      <c r="A53" s="25"/>
      <c r="B53" s="12" t="str">
        <f>CONCATENATE("          ","6381"," - ","BANK/CREDIT CARD FEES")</f>
        <v xml:space="preserve">          6381 - BANK/CREDIT CARD FEES</v>
      </c>
      <c r="C53" s="12"/>
      <c r="D53" s="8">
        <v>4414.9799999999996</v>
      </c>
      <c r="E53" s="3"/>
      <c r="F53" s="7">
        <f t="shared" si="0"/>
        <v>9.6561836271064613E-2</v>
      </c>
      <c r="G53" s="3"/>
      <c r="H53" s="8">
        <v>3714</v>
      </c>
      <c r="I53" s="3"/>
      <c r="J53" s="7">
        <f t="shared" si="1"/>
        <v>5.0151914117885353E-2</v>
      </c>
      <c r="K53" s="3"/>
      <c r="L53" s="8">
        <f t="shared" si="2"/>
        <v>700.97999999999956</v>
      </c>
      <c r="M53" s="3"/>
      <c r="N53" s="7">
        <f t="shared" si="3"/>
        <v>0.18873990306946675</v>
      </c>
      <c r="O53" s="12"/>
      <c r="P53" s="8">
        <v>26863.29</v>
      </c>
      <c r="Q53" s="3"/>
      <c r="R53" s="7">
        <f t="shared" si="4"/>
        <v>3.3116927689624452E-2</v>
      </c>
      <c r="S53" s="3"/>
      <c r="T53" s="8">
        <v>32468</v>
      </c>
      <c r="U53" s="3"/>
      <c r="V53" s="7">
        <f t="shared" si="5"/>
        <v>5.0149515618821666E-2</v>
      </c>
      <c r="W53" s="3"/>
      <c r="X53" s="8">
        <f t="shared" si="6"/>
        <v>-5604.7099999999991</v>
      </c>
      <c r="Y53" s="3"/>
      <c r="Z53" s="7">
        <f t="shared" si="7"/>
        <v>-0.1726225822348158</v>
      </c>
    </row>
    <row r="54" spans="1:26" s="69" customFormat="1" ht="15" customHeight="1" outlineLevel="1" collapsed="1" x14ac:dyDescent="0.25">
      <c r="A54" s="26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14275.04</v>
      </c>
      <c r="E54" s="2"/>
      <c r="F54" s="6">
        <f t="shared" si="0"/>
        <v>0.31221524791570937</v>
      </c>
      <c r="G54" s="2"/>
      <c r="H54" s="2">
        <f>SUM(OSRRefH22_5x_0)</f>
        <v>13902</v>
      </c>
      <c r="I54" s="2"/>
      <c r="J54" s="6">
        <f t="shared" si="1"/>
        <v>0.18772533927486329</v>
      </c>
      <c r="K54" s="2"/>
      <c r="L54" s="2">
        <f t="shared" si="2"/>
        <v>373.04000000000087</v>
      </c>
      <c r="M54" s="2"/>
      <c r="N54" s="6">
        <f t="shared" si="3"/>
        <v>2.68335491296217E-2</v>
      </c>
      <c r="O54" s="14"/>
      <c r="P54" s="2">
        <f>SUM(OSRRefP22_5x_0)</f>
        <v>154577.9</v>
      </c>
      <c r="Q54" s="2"/>
      <c r="R54" s="6">
        <f t="shared" si="4"/>
        <v>0.19056285126334113</v>
      </c>
      <c r="S54" s="2"/>
      <c r="T54" s="2">
        <f>SUM(OSRRefT22_5x_0)</f>
        <v>152922</v>
      </c>
      <c r="U54" s="2"/>
      <c r="V54" s="6">
        <f t="shared" si="5"/>
        <v>0.236200696915777</v>
      </c>
      <c r="W54" s="2"/>
      <c r="X54" s="2">
        <f t="shared" si="6"/>
        <v>1655.8999999999942</v>
      </c>
      <c r="Y54" s="2"/>
      <c r="Z54" s="6">
        <f t="shared" si="7"/>
        <v>1.0828396175828162E-2</v>
      </c>
    </row>
    <row r="55" spans="1:26" s="70" customFormat="1" ht="15" hidden="1" customHeight="1" outlineLevel="2" x14ac:dyDescent="0.25">
      <c r="A55" s="25"/>
      <c r="B55" s="12" t="str">
        <f>CONCATENATE("          ","6321"," - ","BUILDING DEPRECIATION")</f>
        <v xml:space="preserve">          6321 - BUILDING DEPRECIATION</v>
      </c>
      <c r="C55" s="12"/>
      <c r="D55" s="8">
        <v>10597.26</v>
      </c>
      <c r="E55" s="3"/>
      <c r="F55" s="7">
        <f t="shared" si="0"/>
        <v>0.2317770148544053</v>
      </c>
      <c r="G55" s="3"/>
      <c r="H55" s="8"/>
      <c r="I55" s="3"/>
      <c r="J55" s="7">
        <f t="shared" si="1"/>
        <v>0</v>
      </c>
      <c r="K55" s="3"/>
      <c r="L55" s="8">
        <f t="shared" si="2"/>
        <v>10597.26</v>
      </c>
      <c r="M55" s="3"/>
      <c r="N55" s="7">
        <f t="shared" si="3"/>
        <v>0</v>
      </c>
      <c r="O55" s="12"/>
      <c r="P55" s="8">
        <v>116569.86</v>
      </c>
      <c r="Q55" s="3"/>
      <c r="R55" s="7">
        <f t="shared" si="4"/>
        <v>0.14370673228817638</v>
      </c>
      <c r="S55" s="3"/>
      <c r="T55" s="8"/>
      <c r="U55" s="3"/>
      <c r="V55" s="7">
        <f t="shared" si="5"/>
        <v>0</v>
      </c>
      <c r="W55" s="3"/>
      <c r="X55" s="8">
        <f t="shared" si="6"/>
        <v>116569.86</v>
      </c>
      <c r="Y55" s="3"/>
      <c r="Z55" s="7">
        <f t="shared" si="7"/>
        <v>0</v>
      </c>
    </row>
    <row r="56" spans="1:26" s="70" customFormat="1" ht="15" hidden="1" customHeight="1" outlineLevel="2" x14ac:dyDescent="0.25">
      <c r="A56" s="25"/>
      <c r="B56" s="12" t="str">
        <f>CONCATENATE("          ","6322"," - ","EQUIPMENT DEPRECIATION EXPENSE")</f>
        <v xml:space="preserve">          6322 - EQUIPMENT DEPRECIATION EXPENSE</v>
      </c>
      <c r="C56" s="12"/>
      <c r="D56" s="8">
        <v>3677.78</v>
      </c>
      <c r="E56" s="3"/>
      <c r="F56" s="7">
        <f t="shared" si="0"/>
        <v>8.0438233061304029E-2</v>
      </c>
      <c r="G56" s="3"/>
      <c r="H56" s="8">
        <v>13902</v>
      </c>
      <c r="I56" s="3"/>
      <c r="J56" s="7">
        <f t="shared" si="1"/>
        <v>0.18772533927486329</v>
      </c>
      <c r="K56" s="3"/>
      <c r="L56" s="8">
        <f t="shared" si="2"/>
        <v>-10224.219999999999</v>
      </c>
      <c r="M56" s="3"/>
      <c r="N56" s="7">
        <f t="shared" si="3"/>
        <v>-0.73544957560063295</v>
      </c>
      <c r="O56" s="12"/>
      <c r="P56" s="8">
        <v>38008.04</v>
      </c>
      <c r="Q56" s="3"/>
      <c r="R56" s="7">
        <f t="shared" si="4"/>
        <v>4.6856118975164757E-2</v>
      </c>
      <c r="S56" s="3"/>
      <c r="T56" s="8">
        <v>152922</v>
      </c>
      <c r="U56" s="3"/>
      <c r="V56" s="7">
        <f t="shared" si="5"/>
        <v>0.236200696915777</v>
      </c>
      <c r="W56" s="3"/>
      <c r="X56" s="8">
        <f t="shared" si="6"/>
        <v>-114913.95999999999</v>
      </c>
      <c r="Y56" s="3"/>
      <c r="Z56" s="7">
        <f t="shared" si="7"/>
        <v>-0.75145472855442641</v>
      </c>
    </row>
    <row r="57" spans="1:26" s="69" customFormat="1" ht="15" customHeight="1" outlineLevel="1" collapsed="1" x14ac:dyDescent="0.25">
      <c r="A57" s="26"/>
      <c r="B57" s="14" t="str">
        <f>CONCATENATE("     ","Employees' Appreciation                           ")</f>
        <v xml:space="preserve">     Employees' Appreciation                           </v>
      </c>
      <c r="C57" s="14"/>
      <c r="D57" s="2">
        <f>SUM(OSRRefD22_6x_0)</f>
        <v>0</v>
      </c>
      <c r="E57" s="2"/>
      <c r="F57" s="6">
        <f t="shared" ref="F57:F92" si="8">IF(D$12=0,0,D57/D$12)</f>
        <v>0</v>
      </c>
      <c r="G57" s="2"/>
      <c r="H57" s="2">
        <f>SUM(OSRRefH22_6x_0)</f>
        <v>50</v>
      </c>
      <c r="I57" s="2"/>
      <c r="J57" s="6">
        <f t="shared" ref="J57:J92" si="9">IF(H$12=0,0,H57/H$12)</f>
        <v>6.7517385726824657E-4</v>
      </c>
      <c r="K57" s="2"/>
      <c r="L57" s="2">
        <f t="shared" ref="L57:L92" si="10">+D57-H57</f>
        <v>-50</v>
      </c>
      <c r="M57" s="2"/>
      <c r="N57" s="6">
        <f t="shared" ref="N57:N92" si="11">IF(H57=0,0,L57/H57)</f>
        <v>-1</v>
      </c>
      <c r="O57" s="14"/>
      <c r="P57" s="2">
        <f>SUM(OSRRefP22_6x_0)</f>
        <v>61.45</v>
      </c>
      <c r="Q57" s="2"/>
      <c r="R57" s="6">
        <f t="shared" ref="R57:R92" si="12">IF(P$12=0,0,P57/P$12)</f>
        <v>7.5755248390179406E-5</v>
      </c>
      <c r="S57" s="2"/>
      <c r="T57" s="2">
        <f>SUM(OSRRefT22_6x_0)</f>
        <v>100</v>
      </c>
      <c r="U57" s="2"/>
      <c r="V57" s="6">
        <f t="shared" ref="V57:V92" si="13">IF(T$12=0,0,T57/T$12)</f>
        <v>1.5445828390668248E-4</v>
      </c>
      <c r="W57" s="2"/>
      <c r="X57" s="2">
        <f t="shared" ref="X57:X92" si="14">+P57-T57</f>
        <v>-38.549999999999997</v>
      </c>
      <c r="Y57" s="2"/>
      <c r="Z57" s="6">
        <f t="shared" ref="Z57:Z92" si="15">IF(T57=0,0,X57/T57)</f>
        <v>-0.38549999999999995</v>
      </c>
    </row>
    <row r="58" spans="1:26" s="70" customFormat="1" ht="15" hidden="1" customHeight="1" outlineLevel="2" x14ac:dyDescent="0.25">
      <c r="A58" s="25"/>
      <c r="B58" s="12" t="str">
        <f>CONCATENATE("          ","6277"," - ","EMPLOYEE APPRECIATION")</f>
        <v xml:space="preserve">          6277 - EMPLOYEE APPRECIATION</v>
      </c>
      <c r="C58" s="12"/>
      <c r="D58" s="8"/>
      <c r="E58" s="3"/>
      <c r="F58" s="7">
        <f t="shared" si="8"/>
        <v>0</v>
      </c>
      <c r="G58" s="3"/>
      <c r="H58" s="8">
        <v>50</v>
      </c>
      <c r="I58" s="3"/>
      <c r="J58" s="7">
        <f t="shared" si="9"/>
        <v>6.7517385726824657E-4</v>
      </c>
      <c r="K58" s="3"/>
      <c r="L58" s="8">
        <f t="shared" si="10"/>
        <v>-50</v>
      </c>
      <c r="M58" s="3"/>
      <c r="N58" s="7">
        <f t="shared" si="11"/>
        <v>-1</v>
      </c>
      <c r="O58" s="12"/>
      <c r="P58" s="8">
        <v>61.45</v>
      </c>
      <c r="Q58" s="3"/>
      <c r="R58" s="7">
        <f t="shared" si="12"/>
        <v>7.5755248390179406E-5</v>
      </c>
      <c r="S58" s="3"/>
      <c r="T58" s="8">
        <v>100</v>
      </c>
      <c r="U58" s="3"/>
      <c r="V58" s="7">
        <f t="shared" si="13"/>
        <v>1.5445828390668248E-4</v>
      </c>
      <c r="W58" s="3"/>
      <c r="X58" s="8">
        <f t="shared" si="14"/>
        <v>-38.549999999999997</v>
      </c>
      <c r="Y58" s="3"/>
      <c r="Z58" s="7">
        <f t="shared" si="15"/>
        <v>-0.38549999999999995</v>
      </c>
    </row>
    <row r="59" spans="1:26" s="69" customFormat="1" ht="15" customHeight="1" outlineLevel="1" collapsed="1" x14ac:dyDescent="0.25">
      <c r="A59" s="26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SUM(OSRRefD22_7x_0)</f>
        <v>438.41</v>
      </c>
      <c r="E59" s="2"/>
      <c r="F59" s="6">
        <f t="shared" si="8"/>
        <v>9.5886447140411616E-3</v>
      </c>
      <c r="G59" s="2"/>
      <c r="H59" s="2">
        <f>SUM(OSRRefH22_7x_0)</f>
        <v>275</v>
      </c>
      <c r="I59" s="2"/>
      <c r="J59" s="6">
        <f t="shared" si="9"/>
        <v>3.7134562149753561E-3</v>
      </c>
      <c r="K59" s="2"/>
      <c r="L59" s="2">
        <f t="shared" si="10"/>
        <v>163.41000000000003</v>
      </c>
      <c r="M59" s="2"/>
      <c r="N59" s="6">
        <f t="shared" si="11"/>
        <v>0.59421818181818187</v>
      </c>
      <c r="O59" s="14"/>
      <c r="P59" s="2">
        <f>SUM(OSRRefP22_7x_0)</f>
        <v>3767.2</v>
      </c>
      <c r="Q59" s="2"/>
      <c r="R59" s="6">
        <f t="shared" si="12"/>
        <v>4.6441850567206485E-3</v>
      </c>
      <c r="S59" s="2"/>
      <c r="T59" s="2">
        <f>SUM(OSRRefT22_7x_0)</f>
        <v>3025</v>
      </c>
      <c r="U59" s="2"/>
      <c r="V59" s="6">
        <f t="shared" si="13"/>
        <v>4.672363088177145E-3</v>
      </c>
      <c r="W59" s="2"/>
      <c r="X59" s="2">
        <f t="shared" si="14"/>
        <v>742.19999999999982</v>
      </c>
      <c r="Y59" s="2"/>
      <c r="Z59" s="6">
        <f t="shared" si="15"/>
        <v>0.24535537190082637</v>
      </c>
    </row>
    <row r="60" spans="1:26" s="70" customFormat="1" ht="15" hidden="1" customHeight="1" outlineLevel="2" x14ac:dyDescent="0.25">
      <c r="A60" s="25"/>
      <c r="B60" s="12" t="str">
        <f>CONCATENATE("          ","6351"," - ","EQUIPMENT RENTAL")</f>
        <v xml:space="preserve">          6351 - EQUIPMENT RENTAL</v>
      </c>
      <c r="C60" s="12"/>
      <c r="D60" s="8">
        <v>438.41</v>
      </c>
      <c r="E60" s="3"/>
      <c r="F60" s="7">
        <f t="shared" si="8"/>
        <v>9.5886447140411616E-3</v>
      </c>
      <c r="G60" s="3"/>
      <c r="H60" s="8">
        <v>275</v>
      </c>
      <c r="I60" s="3"/>
      <c r="J60" s="7">
        <f t="shared" si="9"/>
        <v>3.7134562149753561E-3</v>
      </c>
      <c r="K60" s="3"/>
      <c r="L60" s="8">
        <f t="shared" si="10"/>
        <v>163.41000000000003</v>
      </c>
      <c r="M60" s="3"/>
      <c r="N60" s="7">
        <f t="shared" si="11"/>
        <v>0.59421818181818187</v>
      </c>
      <c r="O60" s="12"/>
      <c r="P60" s="8">
        <v>3767.2</v>
      </c>
      <c r="Q60" s="3"/>
      <c r="R60" s="7">
        <f t="shared" si="12"/>
        <v>4.6441850567206485E-3</v>
      </c>
      <c r="S60" s="3"/>
      <c r="T60" s="8">
        <v>3025</v>
      </c>
      <c r="U60" s="3"/>
      <c r="V60" s="7">
        <f t="shared" si="13"/>
        <v>4.672363088177145E-3</v>
      </c>
      <c r="W60" s="3"/>
      <c r="X60" s="8">
        <f t="shared" si="14"/>
        <v>742.19999999999982</v>
      </c>
      <c r="Y60" s="3"/>
      <c r="Z60" s="7">
        <f t="shared" si="15"/>
        <v>0.24535537190082637</v>
      </c>
    </row>
    <row r="61" spans="1:26" s="69" customFormat="1" ht="15" customHeight="1" outlineLevel="1" collapsed="1" x14ac:dyDescent="0.25">
      <c r="A61" s="26"/>
      <c r="B61" s="14" t="str">
        <f>CONCATENATE("     ","General                                           ")</f>
        <v xml:space="preserve">     General                                           </v>
      </c>
      <c r="C61" s="14"/>
      <c r="D61" s="2">
        <f>SUM(OSRRefD22_8x_0)</f>
        <v>0</v>
      </c>
      <c r="E61" s="2"/>
      <c r="F61" s="6">
        <f t="shared" si="8"/>
        <v>0</v>
      </c>
      <c r="G61" s="2"/>
      <c r="H61" s="2">
        <f>SUM(OSRRefH22_8x_0)</f>
        <v>0</v>
      </c>
      <c r="I61" s="2"/>
      <c r="J61" s="6">
        <f t="shared" si="9"/>
        <v>0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SUM(OSRRefP22_8x_0)</f>
        <v>1575.57</v>
      </c>
      <c r="Q61" s="2"/>
      <c r="R61" s="6">
        <f t="shared" si="12"/>
        <v>1.9423547063647675E-3</v>
      </c>
      <c r="S61" s="2"/>
      <c r="T61" s="2">
        <f>SUM(OSRRefT22_8x_0)</f>
        <v>1790</v>
      </c>
      <c r="U61" s="2"/>
      <c r="V61" s="6">
        <f t="shared" si="13"/>
        <v>2.7648032819296165E-3</v>
      </c>
      <c r="W61" s="2"/>
      <c r="X61" s="2">
        <f t="shared" si="14"/>
        <v>-214.43000000000006</v>
      </c>
      <c r="Y61" s="2"/>
      <c r="Z61" s="6">
        <f t="shared" si="15"/>
        <v>-0.11979329608938551</v>
      </c>
    </row>
    <row r="62" spans="1:26" s="70" customFormat="1" ht="15" hidden="1" customHeight="1" outlineLevel="2" x14ac:dyDescent="0.25">
      <c r="A62" s="25"/>
      <c r="B62" s="12" t="str">
        <f>CONCATENATE("          ","6279"," - ","GENERAL EXPENSE")</f>
        <v xml:space="preserve">          6279 - GENERAL EXPENSE</v>
      </c>
      <c r="C62" s="12"/>
      <c r="D62" s="8"/>
      <c r="E62" s="3"/>
      <c r="F62" s="7">
        <f t="shared" si="8"/>
        <v>0</v>
      </c>
      <c r="G62" s="3"/>
      <c r="H62" s="8"/>
      <c r="I62" s="3"/>
      <c r="J62" s="7">
        <f t="shared" si="9"/>
        <v>0</v>
      </c>
      <c r="K62" s="3"/>
      <c r="L62" s="8">
        <f t="shared" si="10"/>
        <v>0</v>
      </c>
      <c r="M62" s="3"/>
      <c r="N62" s="7">
        <f t="shared" si="11"/>
        <v>0</v>
      </c>
      <c r="O62" s="12"/>
      <c r="P62" s="8">
        <v>1575.57</v>
      </c>
      <c r="Q62" s="3"/>
      <c r="R62" s="7">
        <f t="shared" si="12"/>
        <v>1.9423547063647675E-3</v>
      </c>
      <c r="S62" s="3"/>
      <c r="T62" s="8">
        <v>1790</v>
      </c>
      <c r="U62" s="3"/>
      <c r="V62" s="7">
        <f t="shared" si="13"/>
        <v>2.7648032819296165E-3</v>
      </c>
      <c r="W62" s="3"/>
      <c r="X62" s="8">
        <f t="shared" si="14"/>
        <v>-214.43000000000006</v>
      </c>
      <c r="Y62" s="3"/>
      <c r="Z62" s="7">
        <f t="shared" si="15"/>
        <v>-0.11979329608938551</v>
      </c>
    </row>
    <row r="63" spans="1:26" s="69" customFormat="1" ht="15" customHeight="1" outlineLevel="1" collapsed="1" x14ac:dyDescent="0.25">
      <c r="A63" s="26"/>
      <c r="B63" s="14" t="str">
        <f>CONCATENATE("     ","Insurance                                         ")</f>
        <v xml:space="preserve">     Insurance                                         </v>
      </c>
      <c r="C63" s="14"/>
      <c r="D63" s="2">
        <f>SUM(OSRRefD22_9x_0)</f>
        <v>871.61</v>
      </c>
      <c r="E63" s="2"/>
      <c r="F63" s="6">
        <f t="shared" si="8"/>
        <v>1.9063339383694294E-2</v>
      </c>
      <c r="G63" s="2"/>
      <c r="H63" s="2">
        <f>SUM(OSRRefH22_9x_0)</f>
        <v>850</v>
      </c>
      <c r="I63" s="2"/>
      <c r="J63" s="6">
        <f t="shared" si="9"/>
        <v>1.1477955573560192E-2</v>
      </c>
      <c r="K63" s="2"/>
      <c r="L63" s="2">
        <f t="shared" si="10"/>
        <v>21.610000000000014</v>
      </c>
      <c r="M63" s="2"/>
      <c r="N63" s="6">
        <f t="shared" si="11"/>
        <v>2.5423529411764723E-2</v>
      </c>
      <c r="O63" s="14"/>
      <c r="P63" s="2">
        <f>SUM(OSRRefP22_9x_0)</f>
        <v>9587.7099999999991</v>
      </c>
      <c r="Q63" s="2"/>
      <c r="R63" s="6">
        <f t="shared" si="12"/>
        <v>1.1819680269210852E-2</v>
      </c>
      <c r="S63" s="2"/>
      <c r="T63" s="2">
        <f>SUM(OSRRefT22_9x_0)</f>
        <v>9350</v>
      </c>
      <c r="U63" s="2"/>
      <c r="V63" s="6">
        <f t="shared" si="13"/>
        <v>1.4441849545274813E-2</v>
      </c>
      <c r="W63" s="2"/>
      <c r="X63" s="2">
        <f t="shared" si="14"/>
        <v>237.70999999999913</v>
      </c>
      <c r="Y63" s="2"/>
      <c r="Z63" s="6">
        <f t="shared" si="15"/>
        <v>2.5423529411764612E-2</v>
      </c>
    </row>
    <row r="64" spans="1:26" s="70" customFormat="1" ht="15" hidden="1" customHeight="1" outlineLevel="2" x14ac:dyDescent="0.25">
      <c r="A64" s="25"/>
      <c r="B64" s="12" t="str">
        <f>CONCATENATE("          ","6314"," - ","LIABILITY INSURANCE")</f>
        <v xml:space="preserve">          6314 - LIABILITY INSURANCE</v>
      </c>
      <c r="C64" s="12"/>
      <c r="D64" s="8">
        <v>871.61</v>
      </c>
      <c r="E64" s="3"/>
      <c r="F64" s="7">
        <f t="shared" si="8"/>
        <v>1.9063339383694294E-2</v>
      </c>
      <c r="G64" s="3"/>
      <c r="H64" s="8">
        <v>850</v>
      </c>
      <c r="I64" s="3"/>
      <c r="J64" s="7">
        <f t="shared" si="9"/>
        <v>1.1477955573560192E-2</v>
      </c>
      <c r="K64" s="3"/>
      <c r="L64" s="8">
        <f t="shared" si="10"/>
        <v>21.610000000000014</v>
      </c>
      <c r="M64" s="3"/>
      <c r="N64" s="7">
        <f t="shared" si="11"/>
        <v>2.5423529411764723E-2</v>
      </c>
      <c r="O64" s="12"/>
      <c r="P64" s="8">
        <v>9587.7099999999991</v>
      </c>
      <c r="Q64" s="3"/>
      <c r="R64" s="7">
        <f t="shared" si="12"/>
        <v>1.1819680269210852E-2</v>
      </c>
      <c r="S64" s="3"/>
      <c r="T64" s="8">
        <v>9350</v>
      </c>
      <c r="U64" s="3"/>
      <c r="V64" s="7">
        <f t="shared" si="13"/>
        <v>1.4441849545274813E-2</v>
      </c>
      <c r="W64" s="3"/>
      <c r="X64" s="8">
        <f t="shared" si="14"/>
        <v>237.70999999999913</v>
      </c>
      <c r="Y64" s="3"/>
      <c r="Z64" s="7">
        <f t="shared" si="15"/>
        <v>2.5423529411764612E-2</v>
      </c>
    </row>
    <row r="65" spans="1:26" s="69" customFormat="1" ht="15" customHeight="1" outlineLevel="1" collapsed="1" x14ac:dyDescent="0.25">
      <c r="A65" s="26"/>
      <c r="B65" s="14" t="str">
        <f>CONCATENATE("     ","Interest                                          ")</f>
        <v xml:space="preserve">     Interest                                          </v>
      </c>
      <c r="C65" s="14"/>
      <c r="D65" s="2">
        <f>SUM(OSRRefD22_10x_0)</f>
        <v>7253</v>
      </c>
      <c r="E65" s="2"/>
      <c r="F65" s="6">
        <f t="shared" si="8"/>
        <v>0.15863333434670865</v>
      </c>
      <c r="G65" s="2"/>
      <c r="H65" s="2">
        <f>SUM(OSRRefH22_10x_0)</f>
        <v>6982</v>
      </c>
      <c r="I65" s="2"/>
      <c r="J65" s="6">
        <f t="shared" si="9"/>
        <v>9.4281277428937951E-2</v>
      </c>
      <c r="K65" s="2"/>
      <c r="L65" s="2">
        <f t="shared" si="10"/>
        <v>271</v>
      </c>
      <c r="M65" s="2"/>
      <c r="N65" s="6">
        <f t="shared" si="11"/>
        <v>3.8814093382984818E-2</v>
      </c>
      <c r="O65" s="14"/>
      <c r="P65" s="2">
        <f>SUM(OSRRefP22_10x_0)</f>
        <v>77645</v>
      </c>
      <c r="Q65" s="2"/>
      <c r="R65" s="6">
        <f t="shared" si="12"/>
        <v>9.5720362266159154E-2</v>
      </c>
      <c r="S65" s="2"/>
      <c r="T65" s="2">
        <f>SUM(OSRRefT22_10x_0)</f>
        <v>79512</v>
      </c>
      <c r="U65" s="2"/>
      <c r="V65" s="6">
        <f t="shared" si="13"/>
        <v>0.12281287069988138</v>
      </c>
      <c r="W65" s="2"/>
      <c r="X65" s="2">
        <f t="shared" si="14"/>
        <v>-1867</v>
      </c>
      <c r="Y65" s="2"/>
      <c r="Z65" s="6">
        <f t="shared" si="15"/>
        <v>-2.3480732468055137E-2</v>
      </c>
    </row>
    <row r="66" spans="1:26" s="70" customFormat="1" ht="15" hidden="1" customHeight="1" outlineLevel="2" x14ac:dyDescent="0.25">
      <c r="A66" s="25"/>
      <c r="B66" s="12" t="str">
        <f>CONCATENATE("          ","6401"," - ","INTEREST EXPENSE")</f>
        <v xml:space="preserve">          6401 - INTEREST EXPENSE</v>
      </c>
      <c r="C66" s="12"/>
      <c r="D66" s="8">
        <v>7253</v>
      </c>
      <c r="E66" s="3"/>
      <c r="F66" s="7">
        <f t="shared" si="8"/>
        <v>0.15863333434670865</v>
      </c>
      <c r="G66" s="3"/>
      <c r="H66" s="8">
        <v>6982</v>
      </c>
      <c r="I66" s="3"/>
      <c r="J66" s="7">
        <f t="shared" si="9"/>
        <v>9.4281277428937951E-2</v>
      </c>
      <c r="K66" s="3"/>
      <c r="L66" s="8">
        <f t="shared" si="10"/>
        <v>271</v>
      </c>
      <c r="M66" s="3"/>
      <c r="N66" s="7">
        <f t="shared" si="11"/>
        <v>3.8814093382984818E-2</v>
      </c>
      <c r="O66" s="12"/>
      <c r="P66" s="8">
        <v>77645</v>
      </c>
      <c r="Q66" s="3"/>
      <c r="R66" s="7">
        <f t="shared" si="12"/>
        <v>9.5720362266159154E-2</v>
      </c>
      <c r="S66" s="3"/>
      <c r="T66" s="8">
        <v>79512</v>
      </c>
      <c r="U66" s="3"/>
      <c r="V66" s="7">
        <f t="shared" si="13"/>
        <v>0.12281287069988138</v>
      </c>
      <c r="W66" s="3"/>
      <c r="X66" s="8">
        <f t="shared" si="14"/>
        <v>-1867</v>
      </c>
      <c r="Y66" s="3"/>
      <c r="Z66" s="7">
        <f t="shared" si="15"/>
        <v>-2.3480732468055137E-2</v>
      </c>
    </row>
    <row r="67" spans="1:26" s="69" customFormat="1" ht="15" customHeight="1" outlineLevel="1" collapsed="1" x14ac:dyDescent="0.25">
      <c r="A67" s="26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4943.6099999999997</v>
      </c>
      <c r="E67" s="2"/>
      <c r="F67" s="6">
        <f t="shared" si="8"/>
        <v>0.10812371956566004</v>
      </c>
      <c r="G67" s="2"/>
      <c r="H67" s="2">
        <f>SUM(OSRRefH22_11x_0)</f>
        <v>500</v>
      </c>
      <c r="I67" s="2"/>
      <c r="J67" s="6">
        <f t="shared" si="9"/>
        <v>6.7517385726824659E-3</v>
      </c>
      <c r="K67" s="2"/>
      <c r="L67" s="2">
        <f t="shared" si="10"/>
        <v>4443.6099999999997</v>
      </c>
      <c r="M67" s="2"/>
      <c r="N67" s="6">
        <f t="shared" si="11"/>
        <v>8.8872199999999992</v>
      </c>
      <c r="O67" s="14"/>
      <c r="P67" s="2">
        <f>SUM(OSRRefP22_11x_0)</f>
        <v>35290.729999999996</v>
      </c>
      <c r="Q67" s="2"/>
      <c r="R67" s="6">
        <f t="shared" si="12"/>
        <v>4.3506232986505383E-2</v>
      </c>
      <c r="S67" s="2"/>
      <c r="T67" s="2">
        <f>SUM(OSRRefT22_11x_0)</f>
        <v>10186</v>
      </c>
      <c r="U67" s="2"/>
      <c r="V67" s="6">
        <f t="shared" si="13"/>
        <v>1.5733120798734679E-2</v>
      </c>
      <c r="W67" s="2"/>
      <c r="X67" s="2">
        <f t="shared" si="14"/>
        <v>25104.729999999996</v>
      </c>
      <c r="Y67" s="2"/>
      <c r="Z67" s="6">
        <f t="shared" si="15"/>
        <v>2.4646308658943643</v>
      </c>
    </row>
    <row r="68" spans="1:26" s="70" customFormat="1" ht="15" hidden="1" customHeight="1" outlineLevel="2" x14ac:dyDescent="0.25">
      <c r="A68" s="25"/>
      <c r="B68" s="12" t="str">
        <f>CONCATENATE("          ","6373"," - ","MAINTENANCE CONTRACTS")</f>
        <v xml:space="preserve">          6373 - MAINTENANCE CONTRACTS</v>
      </c>
      <c r="C68" s="12"/>
      <c r="D68" s="8">
        <v>2905.33</v>
      </c>
      <c r="E68" s="3"/>
      <c r="F68" s="7">
        <f t="shared" si="8"/>
        <v>6.354366266062636E-2</v>
      </c>
      <c r="G68" s="3"/>
      <c r="H68" s="8"/>
      <c r="I68" s="3"/>
      <c r="J68" s="7">
        <f t="shared" si="9"/>
        <v>0</v>
      </c>
      <c r="K68" s="3"/>
      <c r="L68" s="8">
        <f t="shared" si="10"/>
        <v>2905.33</v>
      </c>
      <c r="M68" s="3"/>
      <c r="N68" s="7">
        <f t="shared" si="11"/>
        <v>0</v>
      </c>
      <c r="O68" s="12"/>
      <c r="P68" s="8">
        <v>7053.84</v>
      </c>
      <c r="Q68" s="3"/>
      <c r="R68" s="7">
        <f t="shared" si="12"/>
        <v>8.6959381823365836E-3</v>
      </c>
      <c r="S68" s="3"/>
      <c r="T68" s="8">
        <v>3045</v>
      </c>
      <c r="U68" s="3"/>
      <c r="V68" s="7">
        <f t="shared" si="13"/>
        <v>4.7032547449584816E-3</v>
      </c>
      <c r="W68" s="3"/>
      <c r="X68" s="8">
        <f t="shared" si="14"/>
        <v>4008.84</v>
      </c>
      <c r="Y68" s="3"/>
      <c r="Z68" s="7">
        <f t="shared" si="15"/>
        <v>1.3165320197044335</v>
      </c>
    </row>
    <row r="69" spans="1:26" s="70" customFormat="1" ht="15" hidden="1" customHeight="1" outlineLevel="2" x14ac:dyDescent="0.25">
      <c r="A69" s="25"/>
      <c r="B69" s="12" t="str">
        <f>CONCATENATE("          ","6375"," - ","OUTSIDE REPAIRS &amp; MAINTENANCE")</f>
        <v xml:space="preserve">          6375 - OUTSIDE REPAIRS &amp; MAINTENANCE</v>
      </c>
      <c r="C69" s="12"/>
      <c r="D69" s="8">
        <v>2038.28</v>
      </c>
      <c r="E69" s="3"/>
      <c r="F69" s="7">
        <f t="shared" si="8"/>
        <v>4.458005690503368E-2</v>
      </c>
      <c r="G69" s="3"/>
      <c r="H69" s="8">
        <v>500</v>
      </c>
      <c r="I69" s="3"/>
      <c r="J69" s="7">
        <f t="shared" si="9"/>
        <v>6.7517385726824659E-3</v>
      </c>
      <c r="K69" s="3"/>
      <c r="L69" s="8">
        <f t="shared" si="10"/>
        <v>1538.28</v>
      </c>
      <c r="M69" s="3"/>
      <c r="N69" s="7">
        <f t="shared" si="11"/>
        <v>3.0765599999999997</v>
      </c>
      <c r="O69" s="12"/>
      <c r="P69" s="8">
        <v>28236.89</v>
      </c>
      <c r="Q69" s="3"/>
      <c r="R69" s="7">
        <f t="shared" si="12"/>
        <v>3.48102948041688E-2</v>
      </c>
      <c r="S69" s="3"/>
      <c r="T69" s="8">
        <v>7141</v>
      </c>
      <c r="U69" s="3"/>
      <c r="V69" s="7">
        <f t="shared" si="13"/>
        <v>1.1029866053776196E-2</v>
      </c>
      <c r="W69" s="3"/>
      <c r="X69" s="8">
        <f t="shared" si="14"/>
        <v>21095.89</v>
      </c>
      <c r="Y69" s="3"/>
      <c r="Z69" s="7">
        <f t="shared" si="15"/>
        <v>2.954192690099426</v>
      </c>
    </row>
    <row r="70" spans="1:26" s="69" customFormat="1" ht="15" customHeight="1" outlineLevel="1" collapsed="1" x14ac:dyDescent="0.25">
      <c r="A70" s="26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3628.65</v>
      </c>
      <c r="E70" s="2"/>
      <c r="F70" s="6">
        <f t="shared" si="8"/>
        <v>7.9363690704147852E-2</v>
      </c>
      <c r="G70" s="2"/>
      <c r="H70" s="2">
        <f>SUM(OSRRefH22_12x_0)</f>
        <v>4857</v>
      </c>
      <c r="I70" s="2"/>
      <c r="J70" s="6">
        <f t="shared" si="9"/>
        <v>6.5586388495037479E-2</v>
      </c>
      <c r="K70" s="2"/>
      <c r="L70" s="2">
        <f t="shared" si="10"/>
        <v>-1228.3499999999999</v>
      </c>
      <c r="M70" s="2"/>
      <c r="N70" s="6">
        <f t="shared" si="11"/>
        <v>-0.25290302655960467</v>
      </c>
      <c r="O70" s="14"/>
      <c r="P70" s="2">
        <f>SUM(OSRRefP22_12x_0)</f>
        <v>54699.16</v>
      </c>
      <c r="Q70" s="2"/>
      <c r="R70" s="6">
        <f t="shared" si="12"/>
        <v>6.7432847071345253E-2</v>
      </c>
      <c r="S70" s="2"/>
      <c r="T70" s="2">
        <f>SUM(OSRRefT22_12x_0)</f>
        <v>53915</v>
      </c>
      <c r="U70" s="2"/>
      <c r="V70" s="6">
        <f t="shared" si="13"/>
        <v>8.3276183768287868E-2</v>
      </c>
      <c r="W70" s="2"/>
      <c r="X70" s="2">
        <f t="shared" si="14"/>
        <v>784.16000000000349</v>
      </c>
      <c r="Y70" s="2"/>
      <c r="Z70" s="6">
        <f t="shared" si="15"/>
        <v>1.4544375405731308E-2</v>
      </c>
    </row>
    <row r="71" spans="1:26" s="70" customFormat="1" ht="15" hidden="1" customHeight="1" outlineLevel="2" x14ac:dyDescent="0.25">
      <c r="A71" s="25"/>
      <c r="B71" s="12" t="str">
        <f>CONCATENATE("          ","6282"," - ","JANITORIAL/EXTERMINATOR EXPENS")</f>
        <v xml:space="preserve">          6282 - JANITORIAL/EXTERMINATOR EXPENS</v>
      </c>
      <c r="C71" s="12"/>
      <c r="D71" s="8"/>
      <c r="E71" s="3"/>
      <c r="F71" s="7">
        <f t="shared" si="8"/>
        <v>0</v>
      </c>
      <c r="G71" s="3"/>
      <c r="H71" s="8">
        <v>328</v>
      </c>
      <c r="I71" s="3"/>
      <c r="J71" s="7">
        <f t="shared" si="9"/>
        <v>4.4291405036796976E-3</v>
      </c>
      <c r="K71" s="3"/>
      <c r="L71" s="8">
        <f t="shared" si="10"/>
        <v>-328</v>
      </c>
      <c r="M71" s="3"/>
      <c r="N71" s="7">
        <f t="shared" si="11"/>
        <v>-1</v>
      </c>
      <c r="O71" s="12"/>
      <c r="P71" s="8">
        <v>3585.9</v>
      </c>
      <c r="Q71" s="3"/>
      <c r="R71" s="7">
        <f t="shared" si="12"/>
        <v>4.4206793360837158E-3</v>
      </c>
      <c r="S71" s="3"/>
      <c r="T71" s="8">
        <v>3608</v>
      </c>
      <c r="U71" s="3"/>
      <c r="V71" s="7">
        <f t="shared" si="13"/>
        <v>5.5728548833531037E-3</v>
      </c>
      <c r="W71" s="3"/>
      <c r="X71" s="8">
        <f t="shared" si="14"/>
        <v>-22.099999999999909</v>
      </c>
      <c r="Y71" s="3"/>
      <c r="Z71" s="7">
        <f t="shared" si="15"/>
        <v>-6.1252771618625027E-3</v>
      </c>
    </row>
    <row r="72" spans="1:26" s="70" customFormat="1" ht="15" hidden="1" customHeight="1" outlineLevel="2" x14ac:dyDescent="0.25">
      <c r="A72" s="25"/>
      <c r="B72" s="12" t="str">
        <f>CONCATENATE("          ","6284"," - ","TRASH REMOVAL EXPENSE")</f>
        <v xml:space="preserve">          6284 - TRASH REMOVAL EXPENSE</v>
      </c>
      <c r="C72" s="12"/>
      <c r="D72" s="8"/>
      <c r="E72" s="3"/>
      <c r="F72" s="7">
        <f t="shared" si="8"/>
        <v>0</v>
      </c>
      <c r="G72" s="3"/>
      <c r="H72" s="8">
        <v>1000</v>
      </c>
      <c r="I72" s="3"/>
      <c r="J72" s="7">
        <f t="shared" si="9"/>
        <v>1.3503477145364932E-2</v>
      </c>
      <c r="K72" s="3"/>
      <c r="L72" s="8">
        <f t="shared" si="10"/>
        <v>-1000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11000</v>
      </c>
      <c r="U72" s="3"/>
      <c r="V72" s="7">
        <f t="shared" si="13"/>
        <v>1.6990411229735072E-2</v>
      </c>
      <c r="W72" s="3"/>
      <c r="X72" s="8">
        <f t="shared" si="14"/>
        <v>-11000</v>
      </c>
      <c r="Y72" s="3"/>
      <c r="Z72" s="7">
        <f t="shared" si="15"/>
        <v>-1</v>
      </c>
    </row>
    <row r="73" spans="1:26" s="70" customFormat="1" ht="15" hidden="1" customHeight="1" outlineLevel="2" x14ac:dyDescent="0.25">
      <c r="A73" s="25"/>
      <c r="B73" s="12" t="str">
        <f>CONCATENATE("          ","6285"," - ","JANITORIAL SERVICES")</f>
        <v xml:space="preserve">          6285 - JANITORIAL SERVICES</v>
      </c>
      <c r="C73" s="12"/>
      <c r="D73" s="8">
        <v>3385.52</v>
      </c>
      <c r="E73" s="3"/>
      <c r="F73" s="7">
        <f t="shared" si="8"/>
        <v>7.4046094870738877E-2</v>
      </c>
      <c r="G73" s="3"/>
      <c r="H73" s="8">
        <v>3041</v>
      </c>
      <c r="I73" s="3"/>
      <c r="J73" s="7">
        <f t="shared" si="9"/>
        <v>4.1064073999054755E-2</v>
      </c>
      <c r="K73" s="3"/>
      <c r="L73" s="8">
        <f t="shared" si="10"/>
        <v>344.52</v>
      </c>
      <c r="M73" s="3"/>
      <c r="N73" s="7">
        <f t="shared" si="11"/>
        <v>0.1132916803682999</v>
      </c>
      <c r="O73" s="12"/>
      <c r="P73" s="8">
        <v>47700.58</v>
      </c>
      <c r="Q73" s="3"/>
      <c r="R73" s="7">
        <f t="shared" si="12"/>
        <v>5.8805033136788025E-2</v>
      </c>
      <c r="S73" s="3"/>
      <c r="T73" s="8">
        <v>33451</v>
      </c>
      <c r="U73" s="3"/>
      <c r="V73" s="7">
        <f t="shared" si="13"/>
        <v>5.166784054962436E-2</v>
      </c>
      <c r="W73" s="3"/>
      <c r="X73" s="8">
        <f t="shared" si="14"/>
        <v>14249.580000000002</v>
      </c>
      <c r="Y73" s="3"/>
      <c r="Z73" s="7">
        <f t="shared" si="15"/>
        <v>0.42598367761800848</v>
      </c>
    </row>
    <row r="74" spans="1:26" s="70" customFormat="1" ht="15" hidden="1" customHeight="1" outlineLevel="2" x14ac:dyDescent="0.25">
      <c r="A74" s="25"/>
      <c r="B74" s="12" t="str">
        <f>CONCATENATE("          ","6286"," - ","LAUNDRY EXPENSE")</f>
        <v xml:space="preserve">          6286 - LAUNDRY EXPENSE</v>
      </c>
      <c r="C74" s="12"/>
      <c r="D74" s="8">
        <v>243.13</v>
      </c>
      <c r="E74" s="3"/>
      <c r="F74" s="7">
        <f t="shared" si="8"/>
        <v>5.3175958334089717E-3</v>
      </c>
      <c r="G74" s="3"/>
      <c r="H74" s="8">
        <v>488</v>
      </c>
      <c r="I74" s="3"/>
      <c r="J74" s="7">
        <f t="shared" si="9"/>
        <v>6.5896968469380864E-3</v>
      </c>
      <c r="K74" s="3"/>
      <c r="L74" s="8">
        <f t="shared" si="10"/>
        <v>-244.87</v>
      </c>
      <c r="M74" s="3"/>
      <c r="N74" s="7">
        <f t="shared" si="11"/>
        <v>-0.50178278688524591</v>
      </c>
      <c r="O74" s="12"/>
      <c r="P74" s="8">
        <v>3412.68</v>
      </c>
      <c r="Q74" s="3"/>
      <c r="R74" s="7">
        <f t="shared" si="12"/>
        <v>4.2071345984735142E-3</v>
      </c>
      <c r="S74" s="3"/>
      <c r="T74" s="8">
        <v>5856</v>
      </c>
      <c r="U74" s="3"/>
      <c r="V74" s="7">
        <f t="shared" si="13"/>
        <v>9.0450771055753266E-3</v>
      </c>
      <c r="W74" s="3"/>
      <c r="X74" s="8">
        <f t="shared" si="14"/>
        <v>-2443.3200000000002</v>
      </c>
      <c r="Y74" s="3"/>
      <c r="Z74" s="7">
        <f t="shared" si="15"/>
        <v>-0.41723360655737707</v>
      </c>
    </row>
    <row r="75" spans="1:26" s="69" customFormat="1" ht="15" customHeight="1" outlineLevel="1" collapsed="1" x14ac:dyDescent="0.25">
      <c r="A75" s="26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SUM(OSRRefD22_13x_0)</f>
        <v>130.66999999999999</v>
      </c>
      <c r="E75" s="2"/>
      <c r="F75" s="6">
        <f t="shared" si="8"/>
        <v>2.8579371017626383E-3</v>
      </c>
      <c r="G75" s="2"/>
      <c r="H75" s="2">
        <f>SUM(OSRRefH22_13x_0)</f>
        <v>380</v>
      </c>
      <c r="I75" s="2"/>
      <c r="J75" s="6">
        <f t="shared" si="9"/>
        <v>5.131321315238674E-3</v>
      </c>
      <c r="K75" s="2"/>
      <c r="L75" s="2">
        <f t="shared" si="10"/>
        <v>-249.33</v>
      </c>
      <c r="M75" s="2"/>
      <c r="N75" s="6">
        <f t="shared" si="11"/>
        <v>-0.6561315789473684</v>
      </c>
      <c r="O75" s="14"/>
      <c r="P75" s="2">
        <f>SUM(OSRRefP22_13x_0)</f>
        <v>4025.31</v>
      </c>
      <c r="Q75" s="2"/>
      <c r="R75" s="6">
        <f t="shared" si="12"/>
        <v>4.9623817558579831E-3</v>
      </c>
      <c r="S75" s="2"/>
      <c r="T75" s="2">
        <f>SUM(OSRRefT22_13x_0)</f>
        <v>4180</v>
      </c>
      <c r="U75" s="2"/>
      <c r="V75" s="6">
        <f t="shared" si="13"/>
        <v>6.4563562672993275E-3</v>
      </c>
      <c r="W75" s="2"/>
      <c r="X75" s="2">
        <f t="shared" si="14"/>
        <v>-154.69000000000005</v>
      </c>
      <c r="Y75" s="2"/>
      <c r="Z75" s="6">
        <f t="shared" si="15"/>
        <v>-3.7007177033492836E-2</v>
      </c>
    </row>
    <row r="76" spans="1:26" s="70" customFormat="1" ht="15" hidden="1" customHeight="1" outlineLevel="2" x14ac:dyDescent="0.25">
      <c r="A76" s="25"/>
      <c r="B76" s="12" t="str">
        <f>CONCATENATE("          ","6275"," - ","SUBSCRIPTIONS")</f>
        <v xml:space="preserve">          6275 - SUBSCRIPTIONS</v>
      </c>
      <c r="C76" s="12"/>
      <c r="D76" s="8">
        <v>130.66999999999999</v>
      </c>
      <c r="E76" s="3"/>
      <c r="F76" s="7">
        <f t="shared" si="8"/>
        <v>2.8579371017626383E-3</v>
      </c>
      <c r="G76" s="3"/>
      <c r="H76" s="8">
        <v>380</v>
      </c>
      <c r="I76" s="3"/>
      <c r="J76" s="7">
        <f t="shared" si="9"/>
        <v>5.131321315238674E-3</v>
      </c>
      <c r="K76" s="3"/>
      <c r="L76" s="8">
        <f t="shared" si="10"/>
        <v>-249.33</v>
      </c>
      <c r="M76" s="3"/>
      <c r="N76" s="7">
        <f t="shared" si="11"/>
        <v>-0.6561315789473684</v>
      </c>
      <c r="O76" s="12"/>
      <c r="P76" s="8">
        <v>4025.31</v>
      </c>
      <c r="Q76" s="3"/>
      <c r="R76" s="7">
        <f t="shared" si="12"/>
        <v>4.9623817558579831E-3</v>
      </c>
      <c r="S76" s="3"/>
      <c r="T76" s="8">
        <v>4180</v>
      </c>
      <c r="U76" s="3"/>
      <c r="V76" s="7">
        <f t="shared" si="13"/>
        <v>6.4563562672993275E-3</v>
      </c>
      <c r="W76" s="3"/>
      <c r="X76" s="8">
        <f t="shared" si="14"/>
        <v>-154.69000000000005</v>
      </c>
      <c r="Y76" s="3"/>
      <c r="Z76" s="7">
        <f t="shared" si="15"/>
        <v>-3.7007177033492836E-2</v>
      </c>
    </row>
    <row r="77" spans="1:26" s="69" customFormat="1" ht="15" customHeight="1" outlineLevel="1" collapsed="1" x14ac:dyDescent="0.25">
      <c r="A77" s="26"/>
      <c r="B77" s="14" t="str">
        <f>CONCATENATE("     ","Supplies                                          ")</f>
        <v xml:space="preserve">     Supplies                                          </v>
      </c>
      <c r="C77" s="14"/>
      <c r="D77" s="2">
        <f>SUM(OSRRefD22_14x_0)</f>
        <v>1571.76</v>
      </c>
      <c r="E77" s="2"/>
      <c r="F77" s="6">
        <f t="shared" si="8"/>
        <v>3.4376606865129299E-2</v>
      </c>
      <c r="G77" s="2"/>
      <c r="H77" s="2">
        <f>SUM(OSRRefH22_14x_0)</f>
        <v>200</v>
      </c>
      <c r="I77" s="2"/>
      <c r="J77" s="6">
        <f t="shared" si="9"/>
        <v>2.7006954290729863E-3</v>
      </c>
      <c r="K77" s="2"/>
      <c r="L77" s="2">
        <f t="shared" si="10"/>
        <v>1371.76</v>
      </c>
      <c r="M77" s="2"/>
      <c r="N77" s="6">
        <f t="shared" si="11"/>
        <v>6.8587999999999996</v>
      </c>
      <c r="O77" s="14"/>
      <c r="P77" s="2">
        <f>SUM(OSRRefP22_14x_0)</f>
        <v>18114.969999999998</v>
      </c>
      <c r="Q77" s="2"/>
      <c r="R77" s="6">
        <f t="shared" si="12"/>
        <v>2.2332043155909649E-2</v>
      </c>
      <c r="S77" s="2"/>
      <c r="T77" s="2">
        <f>SUM(OSRRefT22_14x_0)</f>
        <v>9473</v>
      </c>
      <c r="U77" s="2"/>
      <c r="V77" s="6">
        <f t="shared" si="13"/>
        <v>1.4631833234480031E-2</v>
      </c>
      <c r="W77" s="2"/>
      <c r="X77" s="2">
        <f t="shared" si="14"/>
        <v>8641.9699999999975</v>
      </c>
      <c r="Y77" s="2"/>
      <c r="Z77" s="6">
        <f t="shared" si="15"/>
        <v>0.91227383088778613</v>
      </c>
    </row>
    <row r="78" spans="1:26" s="70" customFormat="1" ht="15" hidden="1" customHeight="1" outlineLevel="2" x14ac:dyDescent="0.25">
      <c r="A78" s="25"/>
      <c r="B78" s="12" t="str">
        <f>CONCATENATE("          ","6234"," - ","EXPENDABLE SUPPLIES &amp; EQUIPMEN")</f>
        <v xml:space="preserve">          6234 - EXPENDABLE SUPPLIES &amp; EQUIPMEN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57.77</v>
      </c>
      <c r="Q78" s="3"/>
      <c r="R78" s="7">
        <f t="shared" si="12"/>
        <v>7.1218563051271997E-5</v>
      </c>
      <c r="S78" s="3"/>
      <c r="T78" s="8"/>
      <c r="U78" s="3"/>
      <c r="V78" s="7">
        <f t="shared" si="13"/>
        <v>0</v>
      </c>
      <c r="W78" s="3"/>
      <c r="X78" s="8">
        <f t="shared" si="14"/>
        <v>57.77</v>
      </c>
      <c r="Y78" s="3"/>
      <c r="Z78" s="7">
        <f t="shared" si="15"/>
        <v>0</v>
      </c>
    </row>
    <row r="79" spans="1:26" s="70" customFormat="1" ht="15" hidden="1" customHeight="1" outlineLevel="2" x14ac:dyDescent="0.25">
      <c r="A79" s="25"/>
      <c r="B79" s="12" t="str">
        <f>CONCATENATE("          ","6235"," - ","COVID-19 EXPENSES")</f>
        <v xml:space="preserve">          6235 - COVID-19 EXPENSES</v>
      </c>
      <c r="C79" s="12"/>
      <c r="D79" s="8"/>
      <c r="E79" s="3"/>
      <c r="F79" s="7">
        <f t="shared" si="8"/>
        <v>0</v>
      </c>
      <c r="G79" s="3"/>
      <c r="H79" s="8"/>
      <c r="I79" s="3"/>
      <c r="J79" s="7">
        <f t="shared" si="9"/>
        <v>0</v>
      </c>
      <c r="K79" s="3"/>
      <c r="L79" s="8">
        <f t="shared" si="10"/>
        <v>0</v>
      </c>
      <c r="M79" s="3"/>
      <c r="N79" s="7">
        <f t="shared" si="11"/>
        <v>0</v>
      </c>
      <c r="O79" s="12"/>
      <c r="P79" s="8">
        <v>35.72</v>
      </c>
      <c r="Q79" s="3"/>
      <c r="R79" s="7">
        <f t="shared" si="12"/>
        <v>4.4035434865699075E-5</v>
      </c>
      <c r="S79" s="3"/>
      <c r="T79" s="8"/>
      <c r="U79" s="3"/>
      <c r="V79" s="7">
        <f t="shared" si="13"/>
        <v>0</v>
      </c>
      <c r="W79" s="3"/>
      <c r="X79" s="8">
        <f t="shared" si="14"/>
        <v>35.72</v>
      </c>
      <c r="Y79" s="3"/>
      <c r="Z79" s="7">
        <f t="shared" si="15"/>
        <v>0</v>
      </c>
    </row>
    <row r="80" spans="1:26" s="70" customFormat="1" ht="15" hidden="1" customHeight="1" outlineLevel="2" x14ac:dyDescent="0.25">
      <c r="A80" s="25"/>
      <c r="B80" s="12" t="str">
        <f>CONCATENATE("          ","6237"," - ","JANITORIAL SUPPLIES")</f>
        <v xml:space="preserve">          6237 - JANITORIAL SUPPLIES</v>
      </c>
      <c r="C80" s="12"/>
      <c r="D80" s="8">
        <v>955.97</v>
      </c>
      <c r="E80" s="3"/>
      <c r="F80" s="7">
        <f t="shared" si="8"/>
        <v>2.0908411503574118E-2</v>
      </c>
      <c r="G80" s="3"/>
      <c r="H80" s="8"/>
      <c r="I80" s="3"/>
      <c r="J80" s="7">
        <f t="shared" si="9"/>
        <v>0</v>
      </c>
      <c r="K80" s="3"/>
      <c r="L80" s="8">
        <f t="shared" si="10"/>
        <v>955.97</v>
      </c>
      <c r="M80" s="3"/>
      <c r="N80" s="7">
        <f t="shared" si="11"/>
        <v>0</v>
      </c>
      <c r="O80" s="12"/>
      <c r="P80" s="8">
        <v>7938.85</v>
      </c>
      <c r="Q80" s="3"/>
      <c r="R80" s="7">
        <f t="shared" si="12"/>
        <v>9.7869740224959447E-3</v>
      </c>
      <c r="S80" s="3"/>
      <c r="T80" s="8">
        <v>1503</v>
      </c>
      <c r="U80" s="3"/>
      <c r="V80" s="7">
        <f t="shared" si="13"/>
        <v>2.3215080071174376E-3</v>
      </c>
      <c r="W80" s="3"/>
      <c r="X80" s="8">
        <f t="shared" si="14"/>
        <v>6435.85</v>
      </c>
      <c r="Y80" s="3"/>
      <c r="Z80" s="7">
        <f t="shared" si="15"/>
        <v>4.282002661343979</v>
      </c>
    </row>
    <row r="81" spans="1:26" s="70" customFormat="1" ht="15" hidden="1" customHeight="1" outlineLevel="2" x14ac:dyDescent="0.25">
      <c r="A81" s="25"/>
      <c r="B81" s="12" t="str">
        <f>CONCATENATE("          ","6239"," - ","KITCHEN SUPPLIES")</f>
        <v xml:space="preserve">          6239 - KITCHEN SUPPLIES</v>
      </c>
      <c r="C81" s="12"/>
      <c r="D81" s="8">
        <v>372</v>
      </c>
      <c r="E81" s="3"/>
      <c r="F81" s="7">
        <f t="shared" si="8"/>
        <v>8.136164397763079E-3</v>
      </c>
      <c r="G81" s="3"/>
      <c r="H81" s="8"/>
      <c r="I81" s="3"/>
      <c r="J81" s="7">
        <f t="shared" si="9"/>
        <v>0</v>
      </c>
      <c r="K81" s="3"/>
      <c r="L81" s="8">
        <f t="shared" si="10"/>
        <v>372</v>
      </c>
      <c r="M81" s="3"/>
      <c r="N81" s="7">
        <f t="shared" si="11"/>
        <v>0</v>
      </c>
      <c r="O81" s="12"/>
      <c r="P81" s="8">
        <v>3552.65</v>
      </c>
      <c r="Q81" s="3"/>
      <c r="R81" s="7">
        <f t="shared" si="12"/>
        <v>4.3796889046927726E-3</v>
      </c>
      <c r="S81" s="3"/>
      <c r="T81" s="8">
        <v>149</v>
      </c>
      <c r="U81" s="3"/>
      <c r="V81" s="7">
        <f t="shared" si="13"/>
        <v>2.3014284302095691E-4</v>
      </c>
      <c r="W81" s="3"/>
      <c r="X81" s="8">
        <f t="shared" si="14"/>
        <v>3403.65</v>
      </c>
      <c r="Y81" s="3"/>
      <c r="Z81" s="7">
        <f t="shared" si="15"/>
        <v>22.843288590604029</v>
      </c>
    </row>
    <row r="82" spans="1:26" s="70" customFormat="1" ht="15" hidden="1" customHeight="1" outlineLevel="2" x14ac:dyDescent="0.25">
      <c r="A82" s="25"/>
      <c r="B82" s="12" t="str">
        <f>CONCATENATE("          ","6241"," - ","OFFICE EXPENSE")</f>
        <v xml:space="preserve">          6241 - OFFICE EXPENSE</v>
      </c>
      <c r="C82" s="12"/>
      <c r="D82" s="8"/>
      <c r="E82" s="3"/>
      <c r="F82" s="7">
        <f t="shared" si="8"/>
        <v>0</v>
      </c>
      <c r="G82" s="3"/>
      <c r="H82" s="8"/>
      <c r="I82" s="3"/>
      <c r="J82" s="7">
        <f t="shared" si="9"/>
        <v>0</v>
      </c>
      <c r="K82" s="3"/>
      <c r="L82" s="8">
        <f t="shared" si="10"/>
        <v>0</v>
      </c>
      <c r="M82" s="3"/>
      <c r="N82" s="7">
        <f t="shared" si="11"/>
        <v>0</v>
      </c>
      <c r="O82" s="12"/>
      <c r="P82" s="8">
        <v>3780.79</v>
      </c>
      <c r="Q82" s="3"/>
      <c r="R82" s="7">
        <f t="shared" si="12"/>
        <v>4.6609387398064504E-3</v>
      </c>
      <c r="S82" s="3"/>
      <c r="T82" s="8">
        <v>2827</v>
      </c>
      <c r="U82" s="3"/>
      <c r="V82" s="7">
        <f t="shared" si="13"/>
        <v>4.3665356860419138E-3</v>
      </c>
      <c r="W82" s="3"/>
      <c r="X82" s="8">
        <f t="shared" si="14"/>
        <v>953.79</v>
      </c>
      <c r="Y82" s="3"/>
      <c r="Z82" s="7">
        <f t="shared" si="15"/>
        <v>0.33738592147152457</v>
      </c>
    </row>
    <row r="83" spans="1:26" s="70" customFormat="1" ht="15" hidden="1" customHeight="1" outlineLevel="2" x14ac:dyDescent="0.25">
      <c r="A83" s="25"/>
      <c r="B83" s="12" t="str">
        <f>CONCATENATE("          ","6243"," - ","PAPER SUPPLIES")</f>
        <v xml:space="preserve">          6243 - PAPER SUPPLIES</v>
      </c>
      <c r="C83" s="12"/>
      <c r="D83" s="8">
        <v>210.79</v>
      </c>
      <c r="E83" s="3"/>
      <c r="F83" s="7">
        <f t="shared" si="8"/>
        <v>4.6102744446356973E-3</v>
      </c>
      <c r="G83" s="3"/>
      <c r="H83" s="8">
        <v>200</v>
      </c>
      <c r="I83" s="3"/>
      <c r="J83" s="7">
        <f t="shared" si="9"/>
        <v>2.7006954290729863E-3</v>
      </c>
      <c r="K83" s="3"/>
      <c r="L83" s="8">
        <f t="shared" si="10"/>
        <v>10.789999999999992</v>
      </c>
      <c r="M83" s="3"/>
      <c r="N83" s="7">
        <f t="shared" si="11"/>
        <v>5.3949999999999963E-2</v>
      </c>
      <c r="O83" s="12"/>
      <c r="P83" s="8">
        <v>2716.19</v>
      </c>
      <c r="Q83" s="3"/>
      <c r="R83" s="7">
        <f t="shared" si="12"/>
        <v>3.348505258338835E-3</v>
      </c>
      <c r="S83" s="3"/>
      <c r="T83" s="8">
        <v>3083</v>
      </c>
      <c r="U83" s="3"/>
      <c r="V83" s="7">
        <f t="shared" si="13"/>
        <v>4.7619488928430211E-3</v>
      </c>
      <c r="W83" s="3"/>
      <c r="X83" s="8">
        <f t="shared" si="14"/>
        <v>-366.80999999999995</v>
      </c>
      <c r="Y83" s="3"/>
      <c r="Z83" s="7">
        <f t="shared" si="15"/>
        <v>-0.11897826792085629</v>
      </c>
    </row>
    <row r="84" spans="1:26" s="70" customFormat="1" ht="15" hidden="1" customHeight="1" outlineLevel="2" x14ac:dyDescent="0.25">
      <c r="A84" s="25"/>
      <c r="B84" s="12" t="str">
        <f>CONCATENATE("          ","6247"," - ","STORE SUPPLIES")</f>
        <v xml:space="preserve">          6247 - STORE SUPPLIES</v>
      </c>
      <c r="C84" s="12"/>
      <c r="D84" s="8">
        <v>33</v>
      </c>
      <c r="E84" s="3"/>
      <c r="F84" s="7">
        <f t="shared" si="8"/>
        <v>7.2175651915640227E-4</v>
      </c>
      <c r="G84" s="3"/>
      <c r="H84" s="8"/>
      <c r="I84" s="3"/>
      <c r="J84" s="7">
        <f t="shared" si="9"/>
        <v>0</v>
      </c>
      <c r="K84" s="3"/>
      <c r="L84" s="8">
        <f t="shared" si="10"/>
        <v>33</v>
      </c>
      <c r="M84" s="3"/>
      <c r="N84" s="7">
        <f t="shared" si="11"/>
        <v>0</v>
      </c>
      <c r="O84" s="12"/>
      <c r="P84" s="8">
        <v>33</v>
      </c>
      <c r="Q84" s="3"/>
      <c r="R84" s="7">
        <f t="shared" si="12"/>
        <v>4.0682232658680558E-5</v>
      </c>
      <c r="S84" s="3"/>
      <c r="T84" s="8">
        <v>411</v>
      </c>
      <c r="U84" s="3"/>
      <c r="V84" s="7">
        <f t="shared" si="13"/>
        <v>6.3482354685646502E-4</v>
      </c>
      <c r="W84" s="3"/>
      <c r="X84" s="8">
        <f t="shared" si="14"/>
        <v>-378</v>
      </c>
      <c r="Y84" s="3"/>
      <c r="Z84" s="7">
        <f t="shared" si="15"/>
        <v>-0.91970802919708028</v>
      </c>
    </row>
    <row r="85" spans="1:26" s="70" customFormat="1" ht="15" hidden="1" customHeight="1" outlineLevel="2" x14ac:dyDescent="0.25">
      <c r="A85" s="25"/>
      <c r="B85" s="12" t="str">
        <f>CONCATENATE("          ","6248"," - ","UNIFORMS")</f>
        <v xml:space="preserve">          6248 - UNIFORMS</v>
      </c>
      <c r="C85" s="12"/>
      <c r="D85" s="8"/>
      <c r="E85" s="3"/>
      <c r="F85" s="7">
        <f t="shared" si="8"/>
        <v>0</v>
      </c>
      <c r="G85" s="3"/>
      <c r="H85" s="8"/>
      <c r="I85" s="3"/>
      <c r="J85" s="7">
        <f t="shared" si="9"/>
        <v>0</v>
      </c>
      <c r="K85" s="3"/>
      <c r="L85" s="8">
        <f t="shared" si="10"/>
        <v>0</v>
      </c>
      <c r="M85" s="3"/>
      <c r="N85" s="7">
        <f t="shared" si="11"/>
        <v>0</v>
      </c>
      <c r="O85" s="12"/>
      <c r="P85" s="8"/>
      <c r="Q85" s="3"/>
      <c r="R85" s="7">
        <f t="shared" si="12"/>
        <v>0</v>
      </c>
      <c r="S85" s="3"/>
      <c r="T85" s="8">
        <v>1500</v>
      </c>
      <c r="U85" s="3"/>
      <c r="V85" s="7">
        <f t="shared" si="13"/>
        <v>2.3168742586002372E-3</v>
      </c>
      <c r="W85" s="3"/>
      <c r="X85" s="8">
        <f t="shared" si="14"/>
        <v>-1500</v>
      </c>
      <c r="Y85" s="3"/>
      <c r="Z85" s="7">
        <f t="shared" si="15"/>
        <v>-1</v>
      </c>
    </row>
    <row r="86" spans="1:26" s="69" customFormat="1" ht="15" customHeight="1" outlineLevel="1" collapsed="1" x14ac:dyDescent="0.25">
      <c r="A86" s="26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180.1</v>
      </c>
      <c r="E86" s="2"/>
      <c r="F86" s="6">
        <f t="shared" si="8"/>
        <v>3.9390408818202431E-3</v>
      </c>
      <c r="G86" s="2"/>
      <c r="H86" s="2">
        <f>SUM(OSRRefH22_15x_0)</f>
        <v>135</v>
      </c>
      <c r="I86" s="2"/>
      <c r="J86" s="6">
        <f t="shared" si="9"/>
        <v>1.8229694146242657E-3</v>
      </c>
      <c r="K86" s="2"/>
      <c r="L86" s="2">
        <f t="shared" si="10"/>
        <v>45.099999999999994</v>
      </c>
      <c r="M86" s="2"/>
      <c r="N86" s="6">
        <f t="shared" si="11"/>
        <v>0.33407407407407402</v>
      </c>
      <c r="O86" s="14"/>
      <c r="P86" s="2">
        <f>SUM(OSRRefP22_15x_0)</f>
        <v>2536.13</v>
      </c>
      <c r="Q86" s="2"/>
      <c r="R86" s="6">
        <f t="shared" si="12"/>
        <v>3.126528203413925E-3</v>
      </c>
      <c r="S86" s="2"/>
      <c r="T86" s="2">
        <f>SUM(OSRRefT22_15x_0)</f>
        <v>1485</v>
      </c>
      <c r="U86" s="2"/>
      <c r="V86" s="6">
        <f t="shared" si="13"/>
        <v>2.2937055160142349E-3</v>
      </c>
      <c r="W86" s="2"/>
      <c r="X86" s="2">
        <f t="shared" si="14"/>
        <v>1051.1300000000001</v>
      </c>
      <c r="Y86" s="2"/>
      <c r="Z86" s="6">
        <f t="shared" si="15"/>
        <v>0.70783164983164992</v>
      </c>
    </row>
    <row r="87" spans="1:26" s="70" customFormat="1" ht="15" hidden="1" customHeight="1" outlineLevel="2" x14ac:dyDescent="0.25">
      <c r="A87" s="25"/>
      <c r="B87" s="12" t="str">
        <f>CONCATENATE("          ","6303"," - ","DATA PHONE LINES")</f>
        <v xml:space="preserve">          6303 - DATA PHONE LINES</v>
      </c>
      <c r="C87" s="12"/>
      <c r="D87" s="8"/>
      <c r="E87" s="3"/>
      <c r="F87" s="7">
        <f t="shared" si="8"/>
        <v>0</v>
      </c>
      <c r="G87" s="3"/>
      <c r="H87" s="8">
        <v>60</v>
      </c>
      <c r="I87" s="3"/>
      <c r="J87" s="7">
        <f t="shared" si="9"/>
        <v>8.1020862872189592E-4</v>
      </c>
      <c r="K87" s="3"/>
      <c r="L87" s="8">
        <f t="shared" si="10"/>
        <v>-60</v>
      </c>
      <c r="M87" s="3"/>
      <c r="N87" s="7">
        <f t="shared" si="11"/>
        <v>-1</v>
      </c>
      <c r="O87" s="12"/>
      <c r="P87" s="8"/>
      <c r="Q87" s="3"/>
      <c r="R87" s="7">
        <f t="shared" si="12"/>
        <v>0</v>
      </c>
      <c r="S87" s="3"/>
      <c r="T87" s="8">
        <v>660</v>
      </c>
      <c r="U87" s="3"/>
      <c r="V87" s="7">
        <f t="shared" si="13"/>
        <v>1.0194246737841044E-3</v>
      </c>
      <c r="W87" s="3"/>
      <c r="X87" s="8">
        <f t="shared" si="14"/>
        <v>-660</v>
      </c>
      <c r="Y87" s="3"/>
      <c r="Z87" s="7">
        <f t="shared" si="15"/>
        <v>-1</v>
      </c>
    </row>
    <row r="88" spans="1:26" s="70" customFormat="1" ht="15" hidden="1" customHeight="1" outlineLevel="2" x14ac:dyDescent="0.25">
      <c r="A88" s="25"/>
      <c r="B88" s="12" t="str">
        <f>CONCATENATE("          ","6309"," - ","TELEPHONE")</f>
        <v xml:space="preserve">          6309 - TELEPHONE</v>
      </c>
      <c r="C88" s="12"/>
      <c r="D88" s="8">
        <v>180.1</v>
      </c>
      <c r="E88" s="3"/>
      <c r="F88" s="7">
        <f t="shared" si="8"/>
        <v>3.9390408818202431E-3</v>
      </c>
      <c r="G88" s="3"/>
      <c r="H88" s="8">
        <v>75</v>
      </c>
      <c r="I88" s="3"/>
      <c r="J88" s="7">
        <f t="shared" si="9"/>
        <v>1.0127607859023698E-3</v>
      </c>
      <c r="K88" s="3"/>
      <c r="L88" s="8">
        <f t="shared" si="10"/>
        <v>105.1</v>
      </c>
      <c r="M88" s="3"/>
      <c r="N88" s="7">
        <f t="shared" si="11"/>
        <v>1.4013333333333333</v>
      </c>
      <c r="O88" s="12"/>
      <c r="P88" s="8">
        <v>2536.13</v>
      </c>
      <c r="Q88" s="3"/>
      <c r="R88" s="7">
        <f t="shared" si="12"/>
        <v>3.126528203413925E-3</v>
      </c>
      <c r="S88" s="3"/>
      <c r="T88" s="8">
        <v>825</v>
      </c>
      <c r="U88" s="3"/>
      <c r="V88" s="7">
        <f t="shared" si="13"/>
        <v>1.2742808422301305E-3</v>
      </c>
      <c r="W88" s="3"/>
      <c r="X88" s="8">
        <f t="shared" si="14"/>
        <v>1711.13</v>
      </c>
      <c r="Y88" s="3"/>
      <c r="Z88" s="7">
        <f t="shared" si="15"/>
        <v>2.0740969696969698</v>
      </c>
    </row>
    <row r="89" spans="1:26" s="69" customFormat="1" ht="15" customHeight="1" outlineLevel="1" collapsed="1" x14ac:dyDescent="0.25">
      <c r="A89" s="26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SUM(OSRRefD22_16x_0)</f>
        <v>0</v>
      </c>
      <c r="E89" s="2"/>
      <c r="F89" s="6">
        <f t="shared" si="8"/>
        <v>0</v>
      </c>
      <c r="G89" s="2"/>
      <c r="H89" s="2">
        <f>SUM(OSRRefH22_16x_0)</f>
        <v>0</v>
      </c>
      <c r="I89" s="2"/>
      <c r="J89" s="6">
        <f t="shared" si="9"/>
        <v>0</v>
      </c>
      <c r="K89" s="2"/>
      <c r="L89" s="2">
        <f t="shared" si="10"/>
        <v>0</v>
      </c>
      <c r="M89" s="2"/>
      <c r="N89" s="6">
        <f t="shared" si="11"/>
        <v>0</v>
      </c>
      <c r="O89" s="14"/>
      <c r="P89" s="2">
        <f>SUM(OSRRefP22_16x_0)</f>
        <v>175.95</v>
      </c>
      <c r="Q89" s="2"/>
      <c r="R89" s="6">
        <f t="shared" si="12"/>
        <v>2.1691026776651042E-4</v>
      </c>
      <c r="S89" s="2"/>
      <c r="T89" s="2">
        <f>SUM(OSRRefT22_16x_0)</f>
        <v>760</v>
      </c>
      <c r="U89" s="2"/>
      <c r="V89" s="6">
        <f t="shared" si="13"/>
        <v>1.1738829576907869E-3</v>
      </c>
      <c r="W89" s="2"/>
      <c r="X89" s="2">
        <f t="shared" si="14"/>
        <v>-584.04999999999995</v>
      </c>
      <c r="Y89" s="2"/>
      <c r="Z89" s="6">
        <f t="shared" si="15"/>
        <v>-0.76848684210526308</v>
      </c>
    </row>
    <row r="90" spans="1:26" s="70" customFormat="1" ht="15" hidden="1" customHeight="1" outlineLevel="2" x14ac:dyDescent="0.25">
      <c r="A90" s="25"/>
      <c r="B90" s="12" t="str">
        <f>CONCATENATE("          ","6376"," - ","TRAINING")</f>
        <v xml:space="preserve">          6376 - TRAINING</v>
      </c>
      <c r="C90" s="12"/>
      <c r="D90" s="8"/>
      <c r="E90" s="3"/>
      <c r="F90" s="7">
        <f t="shared" si="8"/>
        <v>0</v>
      </c>
      <c r="G90" s="3"/>
      <c r="H90" s="8"/>
      <c r="I90" s="3"/>
      <c r="J90" s="7">
        <f t="shared" si="9"/>
        <v>0</v>
      </c>
      <c r="K90" s="3"/>
      <c r="L90" s="8">
        <f t="shared" si="10"/>
        <v>0</v>
      </c>
      <c r="M90" s="3"/>
      <c r="N90" s="7">
        <f t="shared" si="11"/>
        <v>0</v>
      </c>
      <c r="O90" s="12"/>
      <c r="P90" s="8">
        <v>175.95</v>
      </c>
      <c r="Q90" s="3"/>
      <c r="R90" s="7">
        <f t="shared" si="12"/>
        <v>2.1691026776651042E-4</v>
      </c>
      <c r="S90" s="3"/>
      <c r="T90" s="8">
        <v>760</v>
      </c>
      <c r="U90" s="3"/>
      <c r="V90" s="7">
        <f t="shared" si="13"/>
        <v>1.1738829576907869E-3</v>
      </c>
      <c r="W90" s="3"/>
      <c r="X90" s="8">
        <f t="shared" si="14"/>
        <v>-584.04999999999995</v>
      </c>
      <c r="Y90" s="3"/>
      <c r="Z90" s="7">
        <f t="shared" si="15"/>
        <v>-0.76848684210526308</v>
      </c>
    </row>
    <row r="91" spans="1:26" s="69" customFormat="1" ht="15" customHeight="1" outlineLevel="1" collapsed="1" x14ac:dyDescent="0.25">
      <c r="A91" s="26"/>
      <c r="B91" s="14" t="str">
        <f>CONCATENATE("     ","Utilities                                         ")</f>
        <v xml:space="preserve">     Utilities                                         </v>
      </c>
      <c r="C91" s="14"/>
      <c r="D91" s="2">
        <f>SUM(OSRRefD22_17x_0)</f>
        <v>5831.76</v>
      </c>
      <c r="E91" s="2"/>
      <c r="F91" s="6">
        <f t="shared" si="8"/>
        <v>0.1275488120653194</v>
      </c>
      <c r="G91" s="2"/>
      <c r="H91" s="2">
        <f>SUM(OSRRefH22_17x_0)</f>
        <v>2417</v>
      </c>
      <c r="I91" s="2"/>
      <c r="J91" s="6">
        <f t="shared" si="9"/>
        <v>3.2637904260347038E-2</v>
      </c>
      <c r="K91" s="2"/>
      <c r="L91" s="2">
        <f t="shared" si="10"/>
        <v>3414.76</v>
      </c>
      <c r="M91" s="2"/>
      <c r="N91" s="6">
        <f t="shared" si="11"/>
        <v>1.4128092676872157</v>
      </c>
      <c r="O91" s="14"/>
      <c r="P91" s="2">
        <f>SUM(OSRRefP22_17x_0)</f>
        <v>27431.759999999998</v>
      </c>
      <c r="Q91" s="2"/>
      <c r="R91" s="6">
        <f t="shared" si="12"/>
        <v>3.3817734622942026E-2</v>
      </c>
      <c r="S91" s="2"/>
      <c r="T91" s="2">
        <f>SUM(OSRRefT22_17x_0)</f>
        <v>26587</v>
      </c>
      <c r="U91" s="2"/>
      <c r="V91" s="6">
        <f t="shared" si="13"/>
        <v>4.1065823942269673E-2</v>
      </c>
      <c r="W91" s="2"/>
      <c r="X91" s="2">
        <f t="shared" si="14"/>
        <v>844.7599999999984</v>
      </c>
      <c r="Y91" s="2"/>
      <c r="Z91" s="6">
        <f t="shared" si="15"/>
        <v>3.1773423101515721E-2</v>
      </c>
    </row>
    <row r="92" spans="1:26" s="70" customFormat="1" ht="15" hidden="1" customHeight="1" outlineLevel="2" x14ac:dyDescent="0.25">
      <c r="A92" s="25"/>
      <c r="B92" s="12" t="str">
        <f>CONCATENATE("          ","6274"," - ","UTILITIES")</f>
        <v xml:space="preserve">          6274 - UTILITIES</v>
      </c>
      <c r="C92" s="12"/>
      <c r="D92" s="8">
        <v>5831.76</v>
      </c>
      <c r="E92" s="3"/>
      <c r="F92" s="7">
        <f t="shared" si="8"/>
        <v>0.1275488120653194</v>
      </c>
      <c r="G92" s="3"/>
      <c r="H92" s="8">
        <v>2417</v>
      </c>
      <c r="I92" s="3"/>
      <c r="J92" s="7">
        <f t="shared" si="9"/>
        <v>3.2637904260347038E-2</v>
      </c>
      <c r="K92" s="3"/>
      <c r="L92" s="8">
        <f t="shared" si="10"/>
        <v>3414.76</v>
      </c>
      <c r="M92" s="3"/>
      <c r="N92" s="7">
        <f t="shared" si="11"/>
        <v>1.4128092676872157</v>
      </c>
      <c r="O92" s="12"/>
      <c r="P92" s="8">
        <v>27431.759999999998</v>
      </c>
      <c r="Q92" s="3"/>
      <c r="R92" s="7">
        <f t="shared" si="12"/>
        <v>3.3817734622942026E-2</v>
      </c>
      <c r="S92" s="3"/>
      <c r="T92" s="8">
        <v>26587</v>
      </c>
      <c r="U92" s="3"/>
      <c r="V92" s="7">
        <f t="shared" si="13"/>
        <v>4.1065823942269673E-2</v>
      </c>
      <c r="W92" s="3"/>
      <c r="X92" s="8">
        <f t="shared" si="14"/>
        <v>844.7599999999984</v>
      </c>
      <c r="Y92" s="3"/>
      <c r="Z92" s="7">
        <f t="shared" si="15"/>
        <v>3.1773423101515721E-2</v>
      </c>
    </row>
    <row r="93" spans="1:26" s="65" customFormat="1" ht="15" customHeight="1" x14ac:dyDescent="0.25">
      <c r="A93" s="35"/>
      <c r="B93" s="35"/>
      <c r="C93" s="35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35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63" customFormat="1" ht="15" customHeight="1" collapsed="1" x14ac:dyDescent="0.25">
      <c r="A94" s="11"/>
      <c r="B94" s="27" t="s">
        <v>291</v>
      </c>
      <c r="C94" s="11"/>
      <c r="D94" s="5">
        <f>SUM(OSRRefD25x_0)</f>
        <v>0</v>
      </c>
      <c r="E94" s="5"/>
      <c r="F94" s="13">
        <f>IF(D$12=0,0,D94/D$12)</f>
        <v>0</v>
      </c>
      <c r="G94" s="5"/>
      <c r="H94" s="5">
        <f>SUM(OSRRefH25x_0)</f>
        <v>0</v>
      </c>
      <c r="I94" s="5"/>
      <c r="J94" s="13">
        <f>IF(H$12=0,0,H94/H$12)</f>
        <v>0</v>
      </c>
      <c r="K94" s="5"/>
      <c r="L94" s="5">
        <f>+D94-H94</f>
        <v>0</v>
      </c>
      <c r="M94" s="5"/>
      <c r="N94" s="13">
        <f>IF(H94=0,0,L94/H94)</f>
        <v>0</v>
      </c>
      <c r="O94" s="11"/>
      <c r="P94" s="5">
        <f>SUM(OSRRefP25x_0)</f>
        <v>6.03</v>
      </c>
      <c r="Q94" s="5"/>
      <c r="R94" s="13">
        <f>IF(P$12=0,0,P94/P$12)</f>
        <v>7.4337534221770846E-6</v>
      </c>
      <c r="S94" s="5"/>
      <c r="T94" s="5">
        <f>SUM(OSRRefT25x_0)</f>
        <v>0</v>
      </c>
      <c r="U94" s="5"/>
      <c r="V94" s="13">
        <f>IF(T$12=0,0,T94/T$12)</f>
        <v>0</v>
      </c>
      <c r="W94" s="5"/>
      <c r="X94" s="5">
        <f>+P94-T94</f>
        <v>6.03</v>
      </c>
      <c r="Y94" s="5"/>
      <c r="Z94" s="13">
        <f>IF(T94=0,0,X94/T94)</f>
        <v>0</v>
      </c>
    </row>
    <row r="95" spans="1:26" s="70" customFormat="1" ht="15" hidden="1" customHeight="1" outlineLevel="1" x14ac:dyDescent="0.25">
      <c r="A95" s="42"/>
      <c r="B95" s="12" t="str">
        <f>CONCATENATE("          ","9150"," - ","MISC. INCOME")</f>
        <v xml:space="preserve">          9150 - MISC. INCOME</v>
      </c>
      <c r="C95" s="12"/>
      <c r="D95" s="3">
        <f>0</f>
        <v>0</v>
      </c>
      <c r="E95" s="3"/>
      <c r="F95" s="20">
        <f>IF(D$12=0,0,D95/D$12)</f>
        <v>0</v>
      </c>
      <c r="G95" s="3"/>
      <c r="H95" s="3"/>
      <c r="I95" s="3"/>
      <c r="J95" s="20">
        <f>IF(H$12=0,0,H95/H$12)</f>
        <v>0</v>
      </c>
      <c r="K95" s="3"/>
      <c r="L95" s="3">
        <f>+D95-H95</f>
        <v>0</v>
      </c>
      <c r="M95" s="3"/>
      <c r="N95" s="20">
        <f>IF(H95=0,0,L95/H95)</f>
        <v>0</v>
      </c>
      <c r="O95" s="12"/>
      <c r="P95" s="3">
        <f>--6.03</f>
        <v>6.03</v>
      </c>
      <c r="Q95" s="3"/>
      <c r="R95" s="20">
        <f>IF(P$12=0,0,P95/P$12)</f>
        <v>7.4337534221770846E-6</v>
      </c>
      <c r="S95" s="3"/>
      <c r="T95" s="3"/>
      <c r="U95" s="3"/>
      <c r="V95" s="20">
        <f>IF(T$12=0,0,T95/T$12)</f>
        <v>0</v>
      </c>
      <c r="W95" s="3"/>
      <c r="X95" s="3">
        <f>+P95-T95</f>
        <v>6.03</v>
      </c>
      <c r="Y95" s="3"/>
      <c r="Z95" s="20">
        <f>IF(T95=0,0,X95/T95)</f>
        <v>0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292</v>
      </c>
      <c r="C97" s="28"/>
      <c r="D97" s="22">
        <f>+D23-D25+D94</f>
        <v>-66596.78</v>
      </c>
      <c r="E97" s="15"/>
      <c r="F97" s="21">
        <f>IF(D$12=0,0,D97/D$12)</f>
        <v>-1.4565654581765062</v>
      </c>
      <c r="G97" s="15"/>
      <c r="H97" s="22">
        <f>+H23-H25+H94</f>
        <v>-10647.390849212621</v>
      </c>
      <c r="I97" s="15"/>
      <c r="J97" s="21">
        <f>IF(H$12=0,0,H97/H$12)</f>
        <v>-0.14377679899011034</v>
      </c>
      <c r="K97" s="16"/>
      <c r="L97" s="22">
        <f>+D97-H97</f>
        <v>-55949.389150787378</v>
      </c>
      <c r="M97" s="16"/>
      <c r="N97" s="21">
        <f>IF(H97=0,0,L97/H97)</f>
        <v>5.2547511351031932</v>
      </c>
      <c r="O97" s="27"/>
      <c r="P97" s="22">
        <f>+P23-P25+P94</f>
        <v>-347262.69999999984</v>
      </c>
      <c r="Q97" s="15"/>
      <c r="R97" s="21">
        <f>IF(P$12=0,0,P97/P$12)</f>
        <v>-0.42810369560853279</v>
      </c>
      <c r="S97" s="15"/>
      <c r="T97" s="22">
        <f>+T23-T25+T94</f>
        <v>-210918.64174303075</v>
      </c>
      <c r="U97" s="15"/>
      <c r="V97" s="21">
        <f>IF(T$12=0,0,T97/T$12)</f>
        <v>-0.32578131447556896</v>
      </c>
      <c r="W97" s="16"/>
      <c r="X97" s="22">
        <f>+P97-T97</f>
        <v>-136344.05825696909</v>
      </c>
      <c r="Y97" s="16"/>
      <c r="Z97" s="21">
        <f>IF(T97=0,0,X97/T97)</f>
        <v>0.64642962390722025</v>
      </c>
    </row>
    <row r="98" spans="1:26" ht="15" customHeight="1" x14ac:dyDescent="0.25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25">
      <c r="A99" s="49"/>
      <c r="B99" s="11" t="s">
        <v>293</v>
      </c>
      <c r="C99" s="11"/>
      <c r="D99" s="5">
        <v>4483.13</v>
      </c>
      <c r="E99" s="5"/>
      <c r="F99" s="13">
        <f>IF(D$12=0,0,D99/D$12)</f>
        <v>9.8052372840170959E-2</v>
      </c>
      <c r="G99" s="5"/>
      <c r="H99" s="5">
        <v>9723</v>
      </c>
      <c r="I99" s="5"/>
      <c r="J99" s="13">
        <f>IF(H$12=0,0,H99/H$12)</f>
        <v>0.13129430828438324</v>
      </c>
      <c r="K99" s="5"/>
      <c r="L99" s="5">
        <f>+D99-H99</f>
        <v>-5239.87</v>
      </c>
      <c r="M99" s="5"/>
      <c r="N99" s="13">
        <f>IF(H99=0,0,L99/H99)</f>
        <v>-0.5389149439473413</v>
      </c>
      <c r="O99" s="11"/>
      <c r="P99" s="5">
        <v>91195.5</v>
      </c>
      <c r="Q99" s="5"/>
      <c r="R99" s="13">
        <f>IF(P$12=0,0,P99/P$12)</f>
        <v>0.11242534995226372</v>
      </c>
      <c r="S99" s="5"/>
      <c r="T99" s="5">
        <v>80257</v>
      </c>
      <c r="U99" s="5"/>
      <c r="V99" s="13">
        <f>IF(T$12=0,0,T99/T$12)</f>
        <v>0.12396358491498616</v>
      </c>
      <c r="W99" s="5"/>
      <c r="X99" s="5">
        <f>+P99-T99</f>
        <v>10938.5</v>
      </c>
      <c r="Y99" s="5"/>
      <c r="Z99" s="13">
        <f>IF(T99=0,0,X99/T99)</f>
        <v>0.13629340742863552</v>
      </c>
    </row>
    <row r="100" spans="1:26" ht="15" customHeight="1" x14ac:dyDescent="0.25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25">
      <c r="A101" s="11"/>
      <c r="B101" s="28" t="s">
        <v>294</v>
      </c>
      <c r="C101" s="28"/>
      <c r="D101" s="34">
        <f>+D97-D99</f>
        <v>-71079.91</v>
      </c>
      <c r="E101" s="15"/>
      <c r="F101" s="32">
        <f>IF(D$12=0,0,D101/D$12)</f>
        <v>-1.5546178310166772</v>
      </c>
      <c r="G101" s="15"/>
      <c r="H101" s="34">
        <f>+H97-H99</f>
        <v>-20370.390849212621</v>
      </c>
      <c r="I101" s="15"/>
      <c r="J101" s="32">
        <f>IF(H$12=0,0,H101/H$12)</f>
        <v>-0.27507110727449358</v>
      </c>
      <c r="K101" s="16"/>
      <c r="L101" s="34">
        <f>D101-H101</f>
        <v>-50709.519150787382</v>
      </c>
      <c r="M101" s="16"/>
      <c r="N101" s="32">
        <f>IF(H101=0,0,L101/H101)</f>
        <v>2.4893738920452506</v>
      </c>
      <c r="O101" s="27"/>
      <c r="P101" s="34">
        <f>+P97-P99</f>
        <v>-438458.19999999984</v>
      </c>
      <c r="Q101" s="15"/>
      <c r="R101" s="32">
        <f>IF(P$12=0,0,P101/P$12)</f>
        <v>-0.54052904556079651</v>
      </c>
      <c r="S101" s="15"/>
      <c r="T101" s="34">
        <f>+T97-T99</f>
        <v>-291175.64174303075</v>
      </c>
      <c r="U101" s="15"/>
      <c r="V101" s="32">
        <f>IF(T$12=0,0,T101/T$12)</f>
        <v>-0.44974489939055512</v>
      </c>
      <c r="W101" s="16"/>
      <c r="X101" s="34">
        <f>P101-T101</f>
        <v>-147282.55825696909</v>
      </c>
      <c r="Y101" s="16"/>
      <c r="Z101" s="32">
        <f>IF(T101=0,0,X101/T101)</f>
        <v>0.50582032678045696</v>
      </c>
    </row>
    <row r="102" spans="1:26" ht="15" customHeight="1" x14ac:dyDescent="0.25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25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25">
      <c r="A104" s="11"/>
      <c r="B104" s="28" t="s">
        <v>297</v>
      </c>
      <c r="C104" s="28"/>
      <c r="D104" s="30">
        <f>SUM(D101:D103)</f>
        <v>-71079.91</v>
      </c>
      <c r="E104" s="15"/>
      <c r="F104" s="33">
        <f>IF(D$12=0,0,D104/D$12)</f>
        <v>-1.5546178310166772</v>
      </c>
      <c r="G104" s="15"/>
      <c r="H104" s="30">
        <f>SUM(H101:H103)</f>
        <v>-20370.390849212621</v>
      </c>
      <c r="I104" s="15"/>
      <c r="J104" s="33">
        <f>IF(H$12=0,0,H104/H$12)</f>
        <v>-0.27507110727449358</v>
      </c>
      <c r="K104" s="16"/>
      <c r="L104" s="30">
        <f>+D104-H104</f>
        <v>-50709.519150787382</v>
      </c>
      <c r="M104" s="16"/>
      <c r="N104" s="33">
        <f>IF(H104=0,0,L104/H104)</f>
        <v>2.4893738920452506</v>
      </c>
      <c r="O104" s="27"/>
      <c r="P104" s="30">
        <f>SUM(P101:P103)</f>
        <v>-438458.19999999984</v>
      </c>
      <c r="Q104" s="15"/>
      <c r="R104" s="33">
        <f>IF(P$12=0,0,P104/P$12)</f>
        <v>-0.54052904556079651</v>
      </c>
      <c r="S104" s="15"/>
      <c r="T104" s="30">
        <f>SUM(T101:T103)</f>
        <v>-291175.64174303075</v>
      </c>
      <c r="U104" s="15"/>
      <c r="V104" s="33">
        <f>IF(T$12=0,0,T104/T$12)</f>
        <v>-0.44974489939055512</v>
      </c>
      <c r="W104" s="16"/>
      <c r="X104" s="30">
        <f>+P104-T104</f>
        <v>-147282.55825696909</v>
      </c>
      <c r="Y104" s="16"/>
      <c r="Z104" s="33">
        <f>IF(T104=0,0,X104/T104)</f>
        <v>0.50582032678045696</v>
      </c>
    </row>
    <row r="105" spans="1:26" ht="15" customHeight="1" x14ac:dyDescent="0.25">
      <c r="A105" s="10"/>
      <c r="C105" s="10"/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  <row r="106" spans="1:26" ht="15" customHeight="1" x14ac:dyDescent="0.25">
      <c r="A106" s="10"/>
      <c r="B106" s="54">
        <v>44727.874527581022</v>
      </c>
      <c r="D106" s="18"/>
      <c r="E106" s="18"/>
      <c r="G106" s="18"/>
      <c r="H106" s="18"/>
      <c r="I106" s="18"/>
      <c r="J106" s="40"/>
      <c r="K106" s="18"/>
      <c r="L106" s="18"/>
      <c r="M106" s="18"/>
      <c r="P106" s="18"/>
      <c r="Q106" s="18"/>
      <c r="R106" s="40"/>
      <c r="S106" s="18"/>
      <c r="T106" s="18"/>
      <c r="U106" s="18"/>
      <c r="V106" s="40"/>
      <c r="W106" s="18"/>
      <c r="X106" s="18"/>
    </row>
    <row r="107" spans="1:26" ht="15" customHeight="1" x14ac:dyDescent="0.25">
      <c r="A107" s="10"/>
      <c r="B107" s="50" t="s">
        <v>298</v>
      </c>
      <c r="D107" s="18"/>
      <c r="E107" s="18"/>
      <c r="G107" s="18"/>
      <c r="H107" s="18"/>
      <c r="I107" s="18"/>
      <c r="J107" s="40"/>
      <c r="K107" s="18"/>
      <c r="L107" s="18"/>
      <c r="M107" s="18"/>
      <c r="P107" s="18"/>
      <c r="Q107" s="18"/>
      <c r="R107" s="40"/>
      <c r="S107" s="18"/>
      <c r="T107" s="18"/>
      <c r="U107" s="18"/>
      <c r="V107" s="40"/>
      <c r="W107" s="18"/>
      <c r="X107" s="18"/>
    </row>
    <row r="108" spans="1:26" ht="15" customHeight="1" x14ac:dyDescent="0.25">
      <c r="A108" s="10"/>
      <c r="B108" s="58"/>
      <c r="D108" s="18"/>
      <c r="E108" s="18"/>
      <c r="G108" s="18"/>
      <c r="H108" s="18"/>
      <c r="I108" s="18"/>
      <c r="J108" s="40"/>
      <c r="K108" s="18"/>
      <c r="L108" s="18"/>
      <c r="M108" s="18"/>
      <c r="P108" s="18"/>
      <c r="Q108" s="18"/>
      <c r="R108" s="40"/>
      <c r="S108" s="18"/>
      <c r="T108" s="18"/>
      <c r="U108" s="18"/>
      <c r="V108" s="40"/>
      <c r="W108" s="18"/>
      <c r="X108" s="18"/>
    </row>
    <row r="109" spans="1:26" ht="15" customHeight="1" x14ac:dyDescent="0.25">
      <c r="D109" s="18"/>
      <c r="E109" s="18"/>
      <c r="G109" s="18"/>
      <c r="H109" s="18"/>
      <c r="I109" s="18"/>
      <c r="J109" s="40"/>
      <c r="K109" s="18"/>
      <c r="L109" s="18"/>
      <c r="M109" s="18"/>
      <c r="P109" s="18"/>
      <c r="Q109" s="18"/>
      <c r="R109" s="40"/>
      <c r="S109" s="18"/>
      <c r="T109" s="18"/>
      <c r="U109" s="18"/>
      <c r="V109" s="40"/>
      <c r="W109" s="18"/>
      <c r="X109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56971-B8A5-DC9A-92DD-2EA916317278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","418"," - ","Nugget")</f>
        <v>Department 418 - Nugget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0</v>
      </c>
      <c r="E12" s="5"/>
      <c r="F12" s="13"/>
      <c r="G12" s="5"/>
      <c r="H12" s="5">
        <f>SUM(OSRRefH13x_0)</f>
        <v>111906</v>
      </c>
      <c r="I12" s="5"/>
      <c r="J12" s="13"/>
      <c r="K12" s="5"/>
      <c r="L12" s="5">
        <f>+D12-H12</f>
        <v>-111906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921531</v>
      </c>
      <c r="U12" s="5"/>
      <c r="V12" s="13"/>
      <c r="W12" s="5"/>
      <c r="X12" s="5">
        <f>+P12-T12</f>
        <v>-921531</v>
      </c>
      <c r="Y12" s="5"/>
      <c r="Z12" s="13">
        <f>IF(T12=0,0,X12/T12)</f>
        <v>-1</v>
      </c>
    </row>
    <row r="13" spans="1:26" s="70" customFormat="1" ht="15" hidden="1" customHeight="1" outlineLevel="1" x14ac:dyDescent="0.25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71956</v>
      </c>
      <c r="I13" s="3"/>
      <c r="J13" s="20"/>
      <c r="K13" s="3"/>
      <c r="L13" s="3">
        <f>+D13-H13</f>
        <v>-71956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529282</v>
      </c>
      <c r="U13" s="3"/>
      <c r="V13" s="20"/>
      <c r="W13" s="3"/>
      <c r="X13" s="3">
        <f>+P13-T13</f>
        <v>-529282</v>
      </c>
      <c r="Y13" s="3"/>
      <c r="Z13" s="20">
        <f>IF(T13=0,0,X13/T13)</f>
        <v>-1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39950</v>
      </c>
      <c r="I14" s="3"/>
      <c r="J14" s="20"/>
      <c r="K14" s="3"/>
      <c r="L14" s="3">
        <f>+D14-H14</f>
        <v>-39950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392249</v>
      </c>
      <c r="U14" s="3"/>
      <c r="V14" s="20"/>
      <c r="W14" s="3"/>
      <c r="X14" s="3">
        <f>+P14-T14</f>
        <v>-392249</v>
      </c>
      <c r="Y14" s="3"/>
      <c r="Z14" s="20">
        <f>IF(T14=0,0,X14/T14)</f>
        <v>-1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25">
      <c r="A16" s="11"/>
      <c r="B16" s="27" t="s">
        <v>288</v>
      </c>
      <c r="C16" s="11"/>
      <c r="D16" s="5">
        <f>SUM(OSRRefD16x_0)</f>
        <v>0</v>
      </c>
      <c r="E16" s="5"/>
      <c r="F16" s="13">
        <f>IF(D$12=0,0,D16/D$12)</f>
        <v>0</v>
      </c>
      <c r="G16" s="5"/>
      <c r="H16" s="5">
        <f>SUM(OSRRefH16x_0)</f>
        <v>38048</v>
      </c>
      <c r="I16" s="5"/>
      <c r="J16" s="13">
        <f>IF(H$12=0,0,H16/H$12)</f>
        <v>0.33999964255714615</v>
      </c>
      <c r="K16" s="5"/>
      <c r="L16" s="5">
        <f>+D16-H16</f>
        <v>-38048</v>
      </c>
      <c r="M16" s="5"/>
      <c r="N16" s="13">
        <f>IF(H16=0,0,L16/H16)</f>
        <v>-1</v>
      </c>
      <c r="O16" s="11"/>
      <c r="P16" s="5">
        <f>SUM(OSRRefP16x_0)</f>
        <v>1168.02</v>
      </c>
      <c r="Q16" s="5"/>
      <c r="R16" s="13">
        <f>IF(P$12=0,0,P16/P$12)</f>
        <v>0</v>
      </c>
      <c r="S16" s="5"/>
      <c r="T16" s="5">
        <f>SUM(OSRRefT16x_0)</f>
        <v>313194</v>
      </c>
      <c r="U16" s="5"/>
      <c r="V16" s="13">
        <f>IF(T$12=0,0,T16/T$12)</f>
        <v>0.33986268503175693</v>
      </c>
      <c r="W16" s="5"/>
      <c r="X16" s="5">
        <f>+P16-T16</f>
        <v>-312025.98</v>
      </c>
      <c r="Y16" s="5"/>
      <c r="Z16" s="13">
        <f>IF(T16=0,0,X16/T16)</f>
        <v>-0.99627061821107676</v>
      </c>
    </row>
    <row r="17" spans="1:26" s="70" customFormat="1" ht="15" hidden="1" customHeight="1" outlineLevel="1" x14ac:dyDescent="0.25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38048</v>
      </c>
      <c r="I17" s="3"/>
      <c r="J17" s="20">
        <f>IF(H$12=0,0,H17/H$12)</f>
        <v>0.33999964255714615</v>
      </c>
      <c r="K17" s="3"/>
      <c r="L17" s="3">
        <f>+D17-H17</f>
        <v>-38048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313194</v>
      </c>
      <c r="U17" s="3"/>
      <c r="V17" s="20">
        <f>IF(T$12=0,0,T17/T$12)</f>
        <v>0.33986268503175693</v>
      </c>
      <c r="W17" s="3"/>
      <c r="X17" s="3">
        <f>+P17-T17</f>
        <v>-313194</v>
      </c>
      <c r="Y17" s="3"/>
      <c r="Z17" s="20">
        <f>IF(T17=0,0,X17/T17)</f>
        <v>-1</v>
      </c>
    </row>
    <row r="18" spans="1:26" s="70" customFormat="1" ht="15" hidden="1" customHeight="1" outlineLevel="1" x14ac:dyDescent="0.25">
      <c r="A18" s="42"/>
      <c r="B18" s="12" t="str">
        <f>CONCATENATE("          ","5053"," - ","PURCHASES @ COST-FOOD")</f>
        <v xml:space="preserve">          5053 - PURCHASES @ COST-FOOD</v>
      </c>
      <c r="C18" s="12"/>
      <c r="D18" s="3"/>
      <c r="E18" s="3"/>
      <c r="F18" s="20">
        <f>IF(D$12=0,0,D18/D$12)</f>
        <v>0</v>
      </c>
      <c r="G18" s="3"/>
      <c r="H18" s="3"/>
      <c r="I18" s="3"/>
      <c r="J18" s="20">
        <f>IF(H$12=0,0,H18/H$12)</f>
        <v>0</v>
      </c>
      <c r="K18" s="3"/>
      <c r="L18" s="3">
        <f>+D18-H18</f>
        <v>0</v>
      </c>
      <c r="M18" s="3"/>
      <c r="N18" s="20">
        <f>IF(H18=0,0,L18/H18)</f>
        <v>0</v>
      </c>
      <c r="O18" s="12"/>
      <c r="P18" s="3">
        <v>1168.02</v>
      </c>
      <c r="Q18" s="3"/>
      <c r="R18" s="20">
        <f>IF(P$12=0,0,P18/P$12)</f>
        <v>0</v>
      </c>
      <c r="S18" s="3"/>
      <c r="T18" s="3"/>
      <c r="U18" s="3"/>
      <c r="V18" s="20">
        <f>IF(T$12=0,0,T18/T$12)</f>
        <v>0</v>
      </c>
      <c r="W18" s="3"/>
      <c r="X18" s="3">
        <f>+P18-T18</f>
        <v>1168.02</v>
      </c>
      <c r="Y18" s="3"/>
      <c r="Z18" s="20">
        <f>IF(T18=0,0,X18/T18)</f>
        <v>0</v>
      </c>
    </row>
    <row r="19" spans="1:26" ht="15" customHeight="1" x14ac:dyDescent="0.25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25">
      <c r="A20" s="11"/>
      <c r="B20" s="28" t="s">
        <v>289</v>
      </c>
      <c r="C20" s="28"/>
      <c r="D20" s="22">
        <f>D12-D16</f>
        <v>0</v>
      </c>
      <c r="E20" s="15"/>
      <c r="F20" s="21">
        <f>IF(D$12=0,0,D20/D$12)</f>
        <v>0</v>
      </c>
      <c r="G20" s="15"/>
      <c r="H20" s="22">
        <f>H12-H16</f>
        <v>73858</v>
      </c>
      <c r="I20" s="15"/>
      <c r="J20" s="21">
        <f>IF(H$12=0,0,H20/H$12)</f>
        <v>0.66000035744285379</v>
      </c>
      <c r="K20" s="16"/>
      <c r="L20" s="22">
        <f>+D20-H20</f>
        <v>-73858</v>
      </c>
      <c r="M20" s="16"/>
      <c r="N20" s="21">
        <f>IF(H20=0,0,L20/H20)</f>
        <v>-1</v>
      </c>
      <c r="O20" s="27"/>
      <c r="P20" s="22">
        <f>P12-P16</f>
        <v>-1168.02</v>
      </c>
      <c r="Q20" s="15"/>
      <c r="R20" s="21">
        <f>IF(P$12=0,0,P20/P$12)</f>
        <v>0</v>
      </c>
      <c r="S20" s="15"/>
      <c r="T20" s="22">
        <f>T12-T16</f>
        <v>608337</v>
      </c>
      <c r="U20" s="15"/>
      <c r="V20" s="21">
        <f>IF(T$12=0,0,T20/T$12)</f>
        <v>0.66013731496824302</v>
      </c>
      <c r="W20" s="16"/>
      <c r="X20" s="22">
        <f>+P20-T20</f>
        <v>-609505.02</v>
      </c>
      <c r="Y20" s="16"/>
      <c r="Z20" s="21">
        <f>IF(T20=0,0,X20/T20)</f>
        <v>-1.0019200213039812</v>
      </c>
    </row>
    <row r="21" spans="1:26" ht="15" customHeight="1" x14ac:dyDescent="0.25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25">
      <c r="A22" s="11"/>
      <c r="B22" s="27" t="s">
        <v>290</v>
      </c>
      <c r="C22" s="11"/>
      <c r="D22" s="23" cm="1">
        <f t="array" ref="D22">SUM(OSRRefD22x_0)</f>
        <v>17951.88</v>
      </c>
      <c r="E22" s="23"/>
      <c r="F22" s="31">
        <f t="shared" ref="F22:F53" si="0">IF(D$12=0,0,D22/D$12)</f>
        <v>0</v>
      </c>
      <c r="G22" s="23"/>
      <c r="H22" s="23" cm="1">
        <f t="array" ref="H22">SUM(OSRRefH22x_0)</f>
        <v>54112.58574618461</v>
      </c>
      <c r="I22" s="23"/>
      <c r="J22" s="31">
        <f t="shared" ref="J22:J53" si="1">IF(H$12=0,0,H22/H$12)</f>
        <v>0.48355392692245824</v>
      </c>
      <c r="K22" s="5"/>
      <c r="L22" s="23">
        <f t="shared" ref="L22:L53" si="2">+D22-H22</f>
        <v>-36160.705746184613</v>
      </c>
      <c r="M22" s="5"/>
      <c r="N22" s="31">
        <f t="shared" ref="N22:N53" si="3">IF(H22=0,0,L22/H22)</f>
        <v>-0.66824945153788451</v>
      </c>
      <c r="O22" s="11"/>
      <c r="P22" s="23" cm="1">
        <f t="array" ref="P22">SUM(OSRRefP22x_0)</f>
        <v>191184.54</v>
      </c>
      <c r="Q22" s="23"/>
      <c r="R22" s="31">
        <f t="shared" ref="R22:R53" si="4">IF(P$12=0,0,P22/P$12)</f>
        <v>0</v>
      </c>
      <c r="S22" s="23"/>
      <c r="T22" s="23" cm="1">
        <f t="array" ref="T22">SUM(OSRRefT22x_0)</f>
        <v>528835.09960553842</v>
      </c>
      <c r="U22" s="23"/>
      <c r="V22" s="31">
        <f t="shared" ref="V22:V53" si="5">IF(T$12=0,0,T22/T$12)</f>
        <v>0.5738657729425688</v>
      </c>
      <c r="W22" s="5"/>
      <c r="X22" s="23">
        <f t="shared" ref="X22:X53" si="6">+P22-T22</f>
        <v>-337650.55960553838</v>
      </c>
      <c r="Y22" s="5"/>
      <c r="Z22" s="31">
        <f t="shared" ref="Z22:Z53" si="7">IF(T22=0,0,X22/T22)</f>
        <v>-0.63847985857480749</v>
      </c>
    </row>
    <row r="23" spans="1:26" s="69" customFormat="1" ht="15" customHeight="1" outlineLevel="1" collapsed="1" x14ac:dyDescent="0.25">
      <c r="A23" s="26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2209.6</v>
      </c>
      <c r="E23" s="2"/>
      <c r="F23" s="6">
        <f t="shared" si="0"/>
        <v>0</v>
      </c>
      <c r="G23" s="2"/>
      <c r="H23" s="2">
        <f>SUM(OSRRefH22_0x_0)</f>
        <v>11369.500684646151</v>
      </c>
      <c r="I23" s="2"/>
      <c r="J23" s="6">
        <f t="shared" si="1"/>
        <v>0.10159866928177355</v>
      </c>
      <c r="K23" s="2"/>
      <c r="L23" s="2">
        <f t="shared" si="2"/>
        <v>-9159.9006846461507</v>
      </c>
      <c r="M23" s="2"/>
      <c r="N23" s="6">
        <f t="shared" si="3"/>
        <v>-0.80565549347440235</v>
      </c>
      <c r="O23" s="14"/>
      <c r="P23" s="2">
        <f>SUM(OSRRefP22_0x_0)</f>
        <v>29287.75</v>
      </c>
      <c r="Q23" s="2"/>
      <c r="R23" s="6">
        <f t="shared" si="4"/>
        <v>0</v>
      </c>
      <c r="S23" s="2"/>
      <c r="T23" s="2">
        <f>SUM(OSRRefT22_0x_0)</f>
        <v>107122.18586707687</v>
      </c>
      <c r="U23" s="2"/>
      <c r="V23" s="6">
        <f t="shared" si="5"/>
        <v>0.11624371384910206</v>
      </c>
      <c r="W23" s="2"/>
      <c r="X23" s="2">
        <f t="shared" si="6"/>
        <v>-77834.435867076871</v>
      </c>
      <c r="Y23" s="2"/>
      <c r="Z23" s="6">
        <f t="shared" si="7"/>
        <v>-0.72659491810275545</v>
      </c>
    </row>
    <row r="24" spans="1:26" s="70" customFormat="1" ht="15" hidden="1" customHeight="1" outlineLevel="2" x14ac:dyDescent="0.25">
      <c r="A24" s="25"/>
      <c r="B24" s="12" t="str">
        <f>CONCATENATE("          ","6111"," - ","F.I.C.A.")</f>
        <v xml:space="preserve">          6111 - F.I.C.A.</v>
      </c>
      <c r="C24" s="12"/>
      <c r="D24" s="8">
        <v>429.42</v>
      </c>
      <c r="E24" s="3"/>
      <c r="F24" s="7">
        <f t="shared" si="0"/>
        <v>0</v>
      </c>
      <c r="G24" s="3"/>
      <c r="H24" s="8">
        <v>1189.64519233846</v>
      </c>
      <c r="I24" s="3"/>
      <c r="J24" s="7">
        <f t="shared" si="1"/>
        <v>1.0630754314678926E-2</v>
      </c>
      <c r="K24" s="3"/>
      <c r="L24" s="8">
        <f t="shared" si="2"/>
        <v>-760.22519233845992</v>
      </c>
      <c r="M24" s="3"/>
      <c r="N24" s="7">
        <f t="shared" si="3"/>
        <v>-0.63903523271850626</v>
      </c>
      <c r="O24" s="12"/>
      <c r="P24" s="8">
        <v>4706.58</v>
      </c>
      <c r="Q24" s="3"/>
      <c r="R24" s="7">
        <f t="shared" si="4"/>
        <v>0</v>
      </c>
      <c r="S24" s="3"/>
      <c r="T24" s="8">
        <v>10411.626282461501</v>
      </c>
      <c r="U24" s="3"/>
      <c r="V24" s="7">
        <f t="shared" si="5"/>
        <v>1.1298183438713945E-2</v>
      </c>
      <c r="W24" s="3"/>
      <c r="X24" s="8">
        <f t="shared" si="6"/>
        <v>-5705.0462824615006</v>
      </c>
      <c r="Y24" s="3"/>
      <c r="Z24" s="7">
        <f t="shared" si="7"/>
        <v>-0.54794958325307108</v>
      </c>
    </row>
    <row r="25" spans="1:26" s="70" customFormat="1" ht="15" hidden="1" customHeight="1" outlineLevel="2" x14ac:dyDescent="0.25">
      <c r="A25" s="25"/>
      <c r="B25" s="12" t="str">
        <f>CONCATENATE("          ","6112"," - ","COMPENSATION INSURANCE")</f>
        <v xml:space="preserve">          6112 - COMPENSATION INSURANCE</v>
      </c>
      <c r="C25" s="12"/>
      <c r="D25" s="8">
        <v>304.48</v>
      </c>
      <c r="E25" s="3"/>
      <c r="F25" s="7">
        <f t="shared" si="0"/>
        <v>0</v>
      </c>
      <c r="G25" s="3"/>
      <c r="H25" s="8">
        <v>988.59578630769204</v>
      </c>
      <c r="I25" s="3"/>
      <c r="J25" s="7">
        <f t="shared" si="1"/>
        <v>8.8341624783987629E-3</v>
      </c>
      <c r="K25" s="3"/>
      <c r="L25" s="8">
        <f t="shared" si="2"/>
        <v>-684.11578630769202</v>
      </c>
      <c r="M25" s="3"/>
      <c r="N25" s="7">
        <f t="shared" si="3"/>
        <v>-0.6920075887262247</v>
      </c>
      <c r="O25" s="12"/>
      <c r="P25" s="8">
        <v>2156.16</v>
      </c>
      <c r="Q25" s="3"/>
      <c r="R25" s="7">
        <f t="shared" si="4"/>
        <v>0</v>
      </c>
      <c r="S25" s="3"/>
      <c r="T25" s="8">
        <v>8864.6659216923108</v>
      </c>
      <c r="U25" s="3"/>
      <c r="V25" s="7">
        <f t="shared" si="5"/>
        <v>9.61949833667268E-3</v>
      </c>
      <c r="W25" s="3"/>
      <c r="X25" s="8">
        <f t="shared" si="6"/>
        <v>-6708.5059216923109</v>
      </c>
      <c r="Y25" s="3"/>
      <c r="Z25" s="7">
        <f t="shared" si="7"/>
        <v>-0.75676917561847856</v>
      </c>
    </row>
    <row r="26" spans="1:26" s="70" customFormat="1" ht="15" hidden="1" customHeight="1" outlineLevel="2" x14ac:dyDescent="0.25">
      <c r="A26" s="25"/>
      <c r="B26" s="12" t="str">
        <f>CONCATENATE("          ","6113"," - ","GROUP INSURANCE")</f>
        <v xml:space="preserve">          6113 - GROUP INSURANCE</v>
      </c>
      <c r="C26" s="12"/>
      <c r="D26" s="8">
        <v>652.17999999999995</v>
      </c>
      <c r="E26" s="3"/>
      <c r="F26" s="7">
        <f t="shared" si="0"/>
        <v>0</v>
      </c>
      <c r="G26" s="3"/>
      <c r="H26" s="8">
        <v>6307.5384615384601</v>
      </c>
      <c r="I26" s="3"/>
      <c r="J26" s="7">
        <f t="shared" si="1"/>
        <v>5.6364613707383521E-2</v>
      </c>
      <c r="K26" s="3"/>
      <c r="L26" s="8">
        <f t="shared" si="2"/>
        <v>-5655.3584615384598</v>
      </c>
      <c r="M26" s="3"/>
      <c r="N26" s="7">
        <f t="shared" si="3"/>
        <v>-0.89660308788019216</v>
      </c>
      <c r="O26" s="12"/>
      <c r="P26" s="8">
        <v>13358.16</v>
      </c>
      <c r="Q26" s="3"/>
      <c r="R26" s="7">
        <f t="shared" si="4"/>
        <v>0</v>
      </c>
      <c r="S26" s="3"/>
      <c r="T26" s="8">
        <v>59696.534615384597</v>
      </c>
      <c r="U26" s="3"/>
      <c r="V26" s="7">
        <f t="shared" si="5"/>
        <v>6.4779735695689664E-2</v>
      </c>
      <c r="W26" s="3"/>
      <c r="X26" s="8">
        <f t="shared" si="6"/>
        <v>-46338.3746153846</v>
      </c>
      <c r="Y26" s="3"/>
      <c r="Z26" s="7">
        <f t="shared" si="7"/>
        <v>-0.77623223716310297</v>
      </c>
    </row>
    <row r="27" spans="1:26" s="70" customFormat="1" ht="15" hidden="1" customHeight="1" outlineLevel="2" x14ac:dyDescent="0.25">
      <c r="A27" s="25"/>
      <c r="B27" s="12" t="str">
        <f>CONCATENATE("          ","6114"," - ","STATE UNEMPLOYMENT INSURANCE")</f>
        <v xml:space="preserve">          6114 - STATE UNEMPLOYMENT INSURANCE</v>
      </c>
      <c r="C27" s="12"/>
      <c r="D27" s="8">
        <v>21.99</v>
      </c>
      <c r="E27" s="3"/>
      <c r="F27" s="7">
        <f t="shared" si="0"/>
        <v>0</v>
      </c>
      <c r="G27" s="3"/>
      <c r="H27" s="8">
        <v>54.777075230769199</v>
      </c>
      <c r="I27" s="3"/>
      <c r="J27" s="7">
        <f t="shared" si="1"/>
        <v>4.8949185236510286E-4</v>
      </c>
      <c r="K27" s="3"/>
      <c r="L27" s="8">
        <f t="shared" si="2"/>
        <v>-32.787075230769204</v>
      </c>
      <c r="M27" s="3"/>
      <c r="N27" s="7">
        <f t="shared" si="3"/>
        <v>-0.59855468903078923</v>
      </c>
      <c r="O27" s="12"/>
      <c r="P27" s="8">
        <v>157.1</v>
      </c>
      <c r="Q27" s="3"/>
      <c r="R27" s="7">
        <f t="shared" si="4"/>
        <v>0</v>
      </c>
      <c r="S27" s="3"/>
      <c r="T27" s="8">
        <v>491.18201676923098</v>
      </c>
      <c r="U27" s="3"/>
      <c r="V27" s="7">
        <f t="shared" si="5"/>
        <v>5.3300650414281336E-4</v>
      </c>
      <c r="W27" s="3"/>
      <c r="X27" s="8">
        <f t="shared" si="6"/>
        <v>-334.08201676923102</v>
      </c>
      <c r="Y27" s="3"/>
      <c r="Z27" s="7">
        <f t="shared" si="7"/>
        <v>-0.68015930014431025</v>
      </c>
    </row>
    <row r="28" spans="1:26" s="70" customFormat="1" ht="15" hidden="1" customHeight="1" outlineLevel="2" x14ac:dyDescent="0.25">
      <c r="A28" s="25"/>
      <c r="B28" s="12" t="str">
        <f>CONCATENATE("          ","6115"," - ","P.E.R.S.")</f>
        <v xml:space="preserve">          6115 - P.E.R.S.</v>
      </c>
      <c r="C28" s="12"/>
      <c r="D28" s="8">
        <v>210.22</v>
      </c>
      <c r="E28" s="3"/>
      <c r="F28" s="7">
        <f t="shared" si="0"/>
        <v>0</v>
      </c>
      <c r="G28" s="3"/>
      <c r="H28" s="8">
        <v>424.70769230769201</v>
      </c>
      <c r="I28" s="3"/>
      <c r="J28" s="7">
        <f t="shared" si="1"/>
        <v>3.7952182394839599E-3</v>
      </c>
      <c r="K28" s="3"/>
      <c r="L28" s="8">
        <f t="shared" si="2"/>
        <v>-214.48769230769201</v>
      </c>
      <c r="M28" s="3"/>
      <c r="N28" s="7">
        <f t="shared" si="3"/>
        <v>-0.50502427008621276</v>
      </c>
      <c r="O28" s="12"/>
      <c r="P28" s="8">
        <v>2543.2800000000002</v>
      </c>
      <c r="Q28" s="3"/>
      <c r="R28" s="7">
        <f t="shared" si="4"/>
        <v>0</v>
      </c>
      <c r="S28" s="3"/>
      <c r="T28" s="8">
        <v>2335.8923076923102</v>
      </c>
      <c r="U28" s="3"/>
      <c r="V28" s="7">
        <f t="shared" si="5"/>
        <v>2.5347951481744079E-3</v>
      </c>
      <c r="W28" s="3"/>
      <c r="X28" s="8">
        <f t="shared" si="6"/>
        <v>207.38769230769003</v>
      </c>
      <c r="Y28" s="3"/>
      <c r="Z28" s="7">
        <f t="shared" si="7"/>
        <v>8.8783070873919623E-2</v>
      </c>
    </row>
    <row r="29" spans="1:26" s="70" customFormat="1" ht="15" hidden="1" customHeight="1" outlineLevel="2" x14ac:dyDescent="0.25">
      <c r="A29" s="25"/>
      <c r="B29" s="12" t="str">
        <f>CONCATENATE("          ","6116"," - ","EDUCATIONAL BENEFITS")</f>
        <v xml:space="preserve">          6116 - EDUCATIONAL BENEFITS</v>
      </c>
      <c r="C29" s="12"/>
      <c r="D29" s="8"/>
      <c r="E29" s="3"/>
      <c r="F29" s="7">
        <f t="shared" si="0"/>
        <v>0</v>
      </c>
      <c r="G29" s="3"/>
      <c r="H29" s="8">
        <v>0</v>
      </c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0</v>
      </c>
      <c r="U29" s="3"/>
      <c r="V29" s="7">
        <f t="shared" si="5"/>
        <v>0</v>
      </c>
      <c r="W29" s="3"/>
      <c r="X29" s="8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25">
      <c r="A30" s="25"/>
      <c r="B30" s="12" t="str">
        <f>CONCATENATE("          ","6118"," - ","VACATION")</f>
        <v xml:space="preserve">          6118 - VACATION</v>
      </c>
      <c r="C30" s="12"/>
      <c r="D30" s="8">
        <v>213.24</v>
      </c>
      <c r="E30" s="3"/>
      <c r="F30" s="7">
        <f t="shared" si="0"/>
        <v>0</v>
      </c>
      <c r="G30" s="3"/>
      <c r="H30" s="8">
        <v>422.56024615384598</v>
      </c>
      <c r="I30" s="3"/>
      <c r="J30" s="7">
        <f t="shared" si="1"/>
        <v>3.776028507442371E-3</v>
      </c>
      <c r="K30" s="3"/>
      <c r="L30" s="8">
        <f t="shared" si="2"/>
        <v>-209.32024615384597</v>
      </c>
      <c r="M30" s="3"/>
      <c r="N30" s="7">
        <f t="shared" si="3"/>
        <v>-0.49536189941927605</v>
      </c>
      <c r="O30" s="12"/>
      <c r="P30" s="8">
        <v>2204</v>
      </c>
      <c r="Q30" s="3"/>
      <c r="R30" s="7">
        <f t="shared" si="4"/>
        <v>0</v>
      </c>
      <c r="S30" s="3"/>
      <c r="T30" s="8">
        <v>3668.0981538461501</v>
      </c>
      <c r="U30" s="3"/>
      <c r="V30" s="7">
        <f t="shared" si="5"/>
        <v>3.9804392406182212E-3</v>
      </c>
      <c r="W30" s="3"/>
      <c r="X30" s="8">
        <f t="shared" si="6"/>
        <v>-1464.0981538461501</v>
      </c>
      <c r="Y30" s="3"/>
      <c r="Z30" s="7">
        <f t="shared" si="7"/>
        <v>-0.39914366858230976</v>
      </c>
    </row>
    <row r="31" spans="1:26" s="70" customFormat="1" ht="15" hidden="1" customHeight="1" outlineLevel="2" x14ac:dyDescent="0.25">
      <c r="A31" s="25"/>
      <c r="B31" s="12" t="str">
        <f>CONCATENATE("          ","6119"," - ","SICK LEAVE")</f>
        <v xml:space="preserve">          6119 - SICK LEAVE</v>
      </c>
      <c r="C31" s="12"/>
      <c r="D31" s="8">
        <v>255.46</v>
      </c>
      <c r="E31" s="3"/>
      <c r="F31" s="7">
        <f t="shared" si="0"/>
        <v>0</v>
      </c>
      <c r="G31" s="3"/>
      <c r="H31" s="8">
        <v>641.67623076923098</v>
      </c>
      <c r="I31" s="3"/>
      <c r="J31" s="7">
        <f t="shared" si="1"/>
        <v>5.7340645789254463E-3</v>
      </c>
      <c r="K31" s="3"/>
      <c r="L31" s="8">
        <f t="shared" si="2"/>
        <v>-386.21623076923095</v>
      </c>
      <c r="M31" s="3"/>
      <c r="N31" s="7">
        <f t="shared" si="3"/>
        <v>-0.60188645340071467</v>
      </c>
      <c r="O31" s="12"/>
      <c r="P31" s="8">
        <v>2461.6799999999998</v>
      </c>
      <c r="Q31" s="3"/>
      <c r="R31" s="7">
        <f t="shared" si="4"/>
        <v>0</v>
      </c>
      <c r="S31" s="3"/>
      <c r="T31" s="8">
        <v>5794.1865692307701</v>
      </c>
      <c r="U31" s="3"/>
      <c r="V31" s="7">
        <f t="shared" si="5"/>
        <v>6.2875655504055425E-3</v>
      </c>
      <c r="W31" s="3"/>
      <c r="X31" s="8">
        <f t="shared" si="6"/>
        <v>-3332.5065692307703</v>
      </c>
      <c r="Y31" s="3"/>
      <c r="Z31" s="7">
        <f t="shared" si="7"/>
        <v>-0.57514657655788781</v>
      </c>
    </row>
    <row r="32" spans="1:26" s="70" customFormat="1" ht="15" hidden="1" customHeight="1" outlineLevel="2" x14ac:dyDescent="0.25">
      <c r="A32" s="25"/>
      <c r="B32" s="12" t="str">
        <f>CONCATENATE("          ","6156"," - ","EMPLOYEE MEALS")</f>
        <v xml:space="preserve">          6156 - EMPLOYEE MEALS</v>
      </c>
      <c r="C32" s="12"/>
      <c r="D32" s="8">
        <v>122.61</v>
      </c>
      <c r="E32" s="3"/>
      <c r="F32" s="7">
        <f t="shared" si="0"/>
        <v>0</v>
      </c>
      <c r="G32" s="3"/>
      <c r="H32" s="8">
        <v>1340</v>
      </c>
      <c r="I32" s="3"/>
      <c r="J32" s="7">
        <f t="shared" si="1"/>
        <v>1.1974335603095455E-2</v>
      </c>
      <c r="K32" s="3"/>
      <c r="L32" s="8">
        <f t="shared" si="2"/>
        <v>-1217.3900000000001</v>
      </c>
      <c r="M32" s="3"/>
      <c r="N32" s="7">
        <f t="shared" si="3"/>
        <v>-0.90850000000000009</v>
      </c>
      <c r="O32" s="12"/>
      <c r="P32" s="8">
        <v>1700.79</v>
      </c>
      <c r="Q32" s="3"/>
      <c r="R32" s="7">
        <f t="shared" si="4"/>
        <v>0</v>
      </c>
      <c r="S32" s="3"/>
      <c r="T32" s="8">
        <v>15860</v>
      </c>
      <c r="U32" s="3"/>
      <c r="V32" s="7">
        <f t="shared" si="5"/>
        <v>1.721048993468478E-2</v>
      </c>
      <c r="W32" s="3"/>
      <c r="X32" s="8">
        <f t="shared" si="6"/>
        <v>-14159.21</v>
      </c>
      <c r="Y32" s="3"/>
      <c r="Z32" s="7">
        <f t="shared" si="7"/>
        <v>-0.89276229508196714</v>
      </c>
    </row>
    <row r="33" spans="1:26" s="69" customFormat="1" ht="15" customHeight="1" outlineLevel="1" collapsed="1" x14ac:dyDescent="0.25">
      <c r="A33" s="26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5261.56</v>
      </c>
      <c r="E33" s="2"/>
      <c r="F33" s="6">
        <f t="shared" si="0"/>
        <v>0</v>
      </c>
      <c r="G33" s="2"/>
      <c r="H33" s="2">
        <f>SUM(OSRRefH22_1x_0)</f>
        <v>25020.085061538459</v>
      </c>
      <c r="I33" s="2"/>
      <c r="J33" s="6">
        <f t="shared" si="1"/>
        <v>0.22358126518272889</v>
      </c>
      <c r="K33" s="2"/>
      <c r="L33" s="2">
        <f t="shared" si="2"/>
        <v>-19758.525061538458</v>
      </c>
      <c r="M33" s="2"/>
      <c r="N33" s="6">
        <f t="shared" si="3"/>
        <v>-0.78970655027515424</v>
      </c>
      <c r="O33" s="14"/>
      <c r="P33" s="2">
        <f>SUM(OSRRefP22_1x_0)</f>
        <v>60103.640000000007</v>
      </c>
      <c r="Q33" s="2"/>
      <c r="R33" s="6">
        <f t="shared" si="4"/>
        <v>0</v>
      </c>
      <c r="S33" s="2"/>
      <c r="T33" s="2">
        <f>SUM(OSRRefT22_1x_0)</f>
        <v>224433.9137384615</v>
      </c>
      <c r="U33" s="2"/>
      <c r="V33" s="6">
        <f t="shared" si="5"/>
        <v>0.24354461622936341</v>
      </c>
      <c r="W33" s="2"/>
      <c r="X33" s="2">
        <f t="shared" si="6"/>
        <v>-164330.27373846149</v>
      </c>
      <c r="Y33" s="2"/>
      <c r="Z33" s="6">
        <f t="shared" si="7"/>
        <v>-0.73219893999602792</v>
      </c>
    </row>
    <row r="34" spans="1:26" s="70" customFormat="1" ht="15" hidden="1" customHeight="1" outlineLevel="2" x14ac:dyDescent="0.25">
      <c r="A34" s="25"/>
      <c r="B34" s="12" t="str">
        <f>CONCATENATE("          ","6001"," - ","ADMINISTRATIVE SALARIES")</f>
        <v xml:space="preserve">          6001 - ADMINISTRATIVE SALARIES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","6002"," - ","STAFF SALARIES")</f>
        <v xml:space="preserve">          6002 - STAFF SALARIES</v>
      </c>
      <c r="C35" s="12"/>
      <c r="D35" s="8">
        <v>5261.56</v>
      </c>
      <c r="E35" s="3"/>
      <c r="F35" s="7">
        <f t="shared" si="0"/>
        <v>0</v>
      </c>
      <c r="G35" s="3"/>
      <c r="H35" s="8">
        <v>4691.5384615384601</v>
      </c>
      <c r="I35" s="3"/>
      <c r="J35" s="7">
        <f t="shared" si="1"/>
        <v>4.1923922412904227E-2</v>
      </c>
      <c r="K35" s="3"/>
      <c r="L35" s="8">
        <f t="shared" si="2"/>
        <v>570.02153846154033</v>
      </c>
      <c r="M35" s="3"/>
      <c r="N35" s="7">
        <f t="shared" si="3"/>
        <v>0.12149991801934787</v>
      </c>
      <c r="O35" s="12"/>
      <c r="P35" s="8">
        <v>36277.040000000001</v>
      </c>
      <c r="Q35" s="3"/>
      <c r="R35" s="7">
        <f t="shared" si="4"/>
        <v>0</v>
      </c>
      <c r="S35" s="3"/>
      <c r="T35" s="8">
        <v>25803.461538461499</v>
      </c>
      <c r="U35" s="3"/>
      <c r="V35" s="7">
        <f t="shared" si="5"/>
        <v>2.800064407867071E-2</v>
      </c>
      <c r="W35" s="3"/>
      <c r="X35" s="8">
        <f t="shared" si="6"/>
        <v>10473.578461538502</v>
      </c>
      <c r="Y35" s="3"/>
      <c r="Z35" s="7">
        <f t="shared" si="7"/>
        <v>0.40589819493508839</v>
      </c>
    </row>
    <row r="36" spans="1:26" s="70" customFormat="1" ht="15" hidden="1" customHeight="1" outlineLevel="2" x14ac:dyDescent="0.25">
      <c r="A36" s="25"/>
      <c r="B36" s="12" t="str">
        <f>CONCATENATE("          ","6003"," - ","STAFF HOURLY-9 MONTH")</f>
        <v xml:space="preserve">          6003 - STAFF HOURLY-9 MONTH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","6004"," - ","STAFF HOURLY")</f>
        <v xml:space="preserve">          6004 - STAFF HOURLY</v>
      </c>
      <c r="C37" s="12"/>
      <c r="D37" s="8"/>
      <c r="E37" s="3"/>
      <c r="F37" s="7">
        <f t="shared" si="0"/>
        <v>0</v>
      </c>
      <c r="G37" s="3"/>
      <c r="H37" s="8">
        <v>8689.5360000000001</v>
      </c>
      <c r="I37" s="3"/>
      <c r="J37" s="7">
        <f t="shared" si="1"/>
        <v>7.7650313656104225E-2</v>
      </c>
      <c r="K37" s="3"/>
      <c r="L37" s="8">
        <f t="shared" si="2"/>
        <v>-8689.5360000000001</v>
      </c>
      <c r="M37" s="3"/>
      <c r="N37" s="7">
        <f t="shared" si="3"/>
        <v>-1</v>
      </c>
      <c r="O37" s="12"/>
      <c r="P37" s="8">
        <v>14370.65</v>
      </c>
      <c r="Q37" s="3"/>
      <c r="R37" s="7">
        <f t="shared" si="4"/>
        <v>0</v>
      </c>
      <c r="S37" s="3"/>
      <c r="T37" s="8">
        <v>90352.98</v>
      </c>
      <c r="U37" s="3"/>
      <c r="V37" s="7">
        <f t="shared" si="5"/>
        <v>9.8046598540906374E-2</v>
      </c>
      <c r="W37" s="3"/>
      <c r="X37" s="8">
        <f t="shared" si="6"/>
        <v>-75982.33</v>
      </c>
      <c r="Y37" s="3"/>
      <c r="Z37" s="7">
        <f t="shared" si="7"/>
        <v>-0.8409499055814208</v>
      </c>
    </row>
    <row r="38" spans="1:26" s="70" customFormat="1" ht="15" hidden="1" customHeight="1" outlineLevel="2" x14ac:dyDescent="0.25">
      <c r="A38" s="25"/>
      <c r="B38" s="12" t="str">
        <f>CONCATENATE("          ","6005"," - ","TEMPORARY WAGES-HOURLY")</f>
        <v xml:space="preserve">          6005 - TEMPORARY WAGES-HOURLY</v>
      </c>
      <c r="C38" s="12"/>
      <c r="D38" s="8"/>
      <c r="E38" s="3"/>
      <c r="F38" s="7">
        <f t="shared" si="0"/>
        <v>0</v>
      </c>
      <c r="G38" s="3"/>
      <c r="H38" s="8">
        <v>4599.9727999999996</v>
      </c>
      <c r="I38" s="3"/>
      <c r="J38" s="7">
        <f t="shared" si="1"/>
        <v>4.1105685128590065E-2</v>
      </c>
      <c r="K38" s="3"/>
      <c r="L38" s="8">
        <f t="shared" si="2"/>
        <v>-4599.9727999999996</v>
      </c>
      <c r="M38" s="3"/>
      <c r="N38" s="7">
        <f t="shared" si="3"/>
        <v>-1</v>
      </c>
      <c r="O38" s="12"/>
      <c r="P38" s="8">
        <v>8246.0499999999993</v>
      </c>
      <c r="Q38" s="3"/>
      <c r="R38" s="7">
        <f t="shared" si="4"/>
        <v>0</v>
      </c>
      <c r="S38" s="3"/>
      <c r="T38" s="8">
        <v>45818.454400000002</v>
      </c>
      <c r="U38" s="3"/>
      <c r="V38" s="7">
        <f t="shared" si="5"/>
        <v>4.9719927381715864E-2</v>
      </c>
      <c r="W38" s="3"/>
      <c r="X38" s="8">
        <f t="shared" si="6"/>
        <v>-37572.404399999999</v>
      </c>
      <c r="Y38" s="3"/>
      <c r="Z38" s="7">
        <f t="shared" si="7"/>
        <v>-0.82002775719994603</v>
      </c>
    </row>
    <row r="39" spans="1:26" s="70" customFormat="1" ht="15" hidden="1" customHeight="1" outlineLevel="2" x14ac:dyDescent="0.25">
      <c r="A39" s="25"/>
      <c r="B39" s="12" t="str">
        <f>CONCATENATE("          ","6006"," - ","TEMPORARY PART TIME")</f>
        <v xml:space="preserve">          6006 - TEMPORARY PART TIME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","6007"," - ","STUDENT HOURLY")</f>
        <v xml:space="preserve">          6007 - STUDENT HOURLY</v>
      </c>
      <c r="C40" s="12"/>
      <c r="D40" s="8"/>
      <c r="E40" s="3"/>
      <c r="F40" s="7">
        <f t="shared" si="0"/>
        <v>0</v>
      </c>
      <c r="G40" s="3"/>
      <c r="H40" s="8">
        <v>1415.6956</v>
      </c>
      <c r="I40" s="3"/>
      <c r="J40" s="7">
        <f t="shared" si="1"/>
        <v>1.2650756885242972E-2</v>
      </c>
      <c r="K40" s="3"/>
      <c r="L40" s="8">
        <f t="shared" si="2"/>
        <v>-1415.6956</v>
      </c>
      <c r="M40" s="3"/>
      <c r="N40" s="7">
        <f t="shared" si="3"/>
        <v>-1</v>
      </c>
      <c r="O40" s="12"/>
      <c r="P40" s="8">
        <v>1209.9000000000001</v>
      </c>
      <c r="Q40" s="3"/>
      <c r="R40" s="7">
        <f t="shared" si="4"/>
        <v>0</v>
      </c>
      <c r="S40" s="3"/>
      <c r="T40" s="8">
        <v>13363.108</v>
      </c>
      <c r="U40" s="3"/>
      <c r="V40" s="7">
        <f t="shared" si="5"/>
        <v>1.4500985859401365E-2</v>
      </c>
      <c r="W40" s="3"/>
      <c r="X40" s="8">
        <f t="shared" si="6"/>
        <v>-12153.208000000001</v>
      </c>
      <c r="Y40" s="3"/>
      <c r="Z40" s="7">
        <f t="shared" si="7"/>
        <v>-0.90945968557613999</v>
      </c>
    </row>
    <row r="41" spans="1:26" s="70" customFormat="1" ht="15" hidden="1" customHeight="1" outlineLevel="2" x14ac:dyDescent="0.25">
      <c r="A41" s="25"/>
      <c r="B41" s="12" t="str">
        <f>CONCATENATE("          ","6008"," - ","STUDENT HOURLY-FICA EXEMPT")</f>
        <v xml:space="preserve">          6008 - STUDENT HOURLY-FICA EXEMPT</v>
      </c>
      <c r="C41" s="12"/>
      <c r="D41" s="8"/>
      <c r="E41" s="3"/>
      <c r="F41" s="7">
        <f t="shared" si="0"/>
        <v>0</v>
      </c>
      <c r="G41" s="3"/>
      <c r="H41" s="8">
        <v>5623.3422</v>
      </c>
      <c r="I41" s="3"/>
      <c r="J41" s="7">
        <f t="shared" si="1"/>
        <v>5.0250587099887403E-2</v>
      </c>
      <c r="K41" s="3"/>
      <c r="L41" s="8">
        <f t="shared" si="2"/>
        <v>-5623.3422</v>
      </c>
      <c r="M41" s="3"/>
      <c r="N41" s="7">
        <f t="shared" si="3"/>
        <v>-1</v>
      </c>
      <c r="O41" s="12"/>
      <c r="P41" s="8"/>
      <c r="Q41" s="3"/>
      <c r="R41" s="7">
        <f t="shared" si="4"/>
        <v>0</v>
      </c>
      <c r="S41" s="3"/>
      <c r="T41" s="8">
        <v>49095.909800000001</v>
      </c>
      <c r="U41" s="3"/>
      <c r="V41" s="7">
        <f t="shared" si="5"/>
        <v>5.32764603686691E-2</v>
      </c>
      <c r="W41" s="3"/>
      <c r="X41" s="8">
        <f t="shared" si="6"/>
        <v>-49095.909800000001</v>
      </c>
      <c r="Y41" s="3"/>
      <c r="Z41" s="7">
        <f t="shared" si="7"/>
        <v>-1</v>
      </c>
    </row>
    <row r="42" spans="1:26" s="70" customFormat="1" ht="15" hidden="1" customHeight="1" outlineLevel="2" x14ac:dyDescent="0.25">
      <c r="A42" s="25"/>
      <c r="B42" s="12" t="str">
        <f>CONCATENATE("          ","6009"," - ","TEMPORARY-SEASONAL")</f>
        <v xml:space="preserve">          6009 - TEMPORARY-SEASONAL</v>
      </c>
      <c r="C42" s="12"/>
      <c r="D42" s="8"/>
      <c r="E42" s="3"/>
      <c r="F42" s="7">
        <f t="shared" si="0"/>
        <v>0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","6010"," - ","GRATUITY")</f>
        <v xml:space="preserve">          6010 - GRATUITY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69" customFormat="1" ht="15" customHeight="1" outlineLevel="1" collapsed="1" x14ac:dyDescent="0.25">
      <c r="A44" s="26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0</v>
      </c>
      <c r="E44" s="2"/>
      <c r="F44" s="6">
        <f t="shared" si="0"/>
        <v>0</v>
      </c>
      <c r="G44" s="2"/>
      <c r="H44" s="2">
        <f>SUM(OSRRefH22_2x_0)</f>
        <v>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SUM(OSRRefP22_2x_0)</f>
        <v>263.58</v>
      </c>
      <c r="Q44" s="2"/>
      <c r="R44" s="6">
        <f t="shared" si="4"/>
        <v>0</v>
      </c>
      <c r="S44" s="2"/>
      <c r="T44" s="2">
        <f>SUM(OSRRefT22_2x_0)</f>
        <v>0</v>
      </c>
      <c r="U44" s="2"/>
      <c r="V44" s="6">
        <f t="shared" si="5"/>
        <v>0</v>
      </c>
      <c r="W44" s="2"/>
      <c r="X44" s="2">
        <f t="shared" si="6"/>
        <v>263.58</v>
      </c>
      <c r="Y44" s="2"/>
      <c r="Z44" s="6">
        <f t="shared" si="7"/>
        <v>0</v>
      </c>
    </row>
    <row r="45" spans="1:26" s="70" customFormat="1" ht="15" hidden="1" customHeight="1" outlineLevel="2" x14ac:dyDescent="0.25">
      <c r="A45" s="25"/>
      <c r="B45" s="12" t="str">
        <f>CONCATENATE("          ","6362"," - ","ADVERTISING EXPENSE")</f>
        <v xml:space="preserve">          6362 - ADVERTISING EXPENSE</v>
      </c>
      <c r="C45" s="12"/>
      <c r="D45" s="8"/>
      <c r="E45" s="3"/>
      <c r="F45" s="7">
        <f t="shared" si="0"/>
        <v>0</v>
      </c>
      <c r="G45" s="3"/>
      <c r="H45" s="8"/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263.58</v>
      </c>
      <c r="Q45" s="3"/>
      <c r="R45" s="7">
        <f t="shared" si="4"/>
        <v>0</v>
      </c>
      <c r="S45" s="3"/>
      <c r="T45" s="8"/>
      <c r="U45" s="3"/>
      <c r="V45" s="7">
        <f t="shared" si="5"/>
        <v>0</v>
      </c>
      <c r="W45" s="3"/>
      <c r="X45" s="8">
        <f t="shared" si="6"/>
        <v>263.58</v>
      </c>
      <c r="Y45" s="3"/>
      <c r="Z45" s="7">
        <f t="shared" si="7"/>
        <v>0</v>
      </c>
    </row>
    <row r="46" spans="1:26" s="69" customFormat="1" ht="15" customHeight="1" outlineLevel="1" collapsed="1" x14ac:dyDescent="0.25">
      <c r="A46" s="26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SUM(OSRRefD22_3x_0)</f>
        <v>0</v>
      </c>
      <c r="E46" s="2"/>
      <c r="F46" s="6">
        <f t="shared" si="0"/>
        <v>0</v>
      </c>
      <c r="G46" s="2"/>
      <c r="H46" s="2">
        <f>SUM(OSRRefH22_3x_0)</f>
        <v>4473</v>
      </c>
      <c r="I46" s="2"/>
      <c r="J46" s="6">
        <f t="shared" si="1"/>
        <v>3.9971047128840274E-2</v>
      </c>
      <c r="K46" s="2"/>
      <c r="L46" s="2">
        <f t="shared" si="2"/>
        <v>-4473</v>
      </c>
      <c r="M46" s="2"/>
      <c r="N46" s="6">
        <f t="shared" si="3"/>
        <v>-1</v>
      </c>
      <c r="O46" s="14"/>
      <c r="P46" s="2">
        <f>SUM(OSRRefP22_3x_0)</f>
        <v>0.64</v>
      </c>
      <c r="Q46" s="2"/>
      <c r="R46" s="6">
        <f t="shared" si="4"/>
        <v>0</v>
      </c>
      <c r="S46" s="2"/>
      <c r="T46" s="2">
        <f>SUM(OSRRefT22_3x_0)</f>
        <v>36834</v>
      </c>
      <c r="U46" s="2"/>
      <c r="V46" s="6">
        <f t="shared" si="5"/>
        <v>3.9970440495219368E-2</v>
      </c>
      <c r="W46" s="2"/>
      <c r="X46" s="2">
        <f t="shared" si="6"/>
        <v>-36833.360000000001</v>
      </c>
      <c r="Y46" s="2"/>
      <c r="Z46" s="6">
        <f t="shared" si="7"/>
        <v>-0.99998262474887334</v>
      </c>
    </row>
    <row r="47" spans="1:26" s="70" customFormat="1" ht="15" hidden="1" customHeight="1" outlineLevel="2" x14ac:dyDescent="0.25">
      <c r="A47" s="25"/>
      <c r="B47" s="12" t="str">
        <f>CONCATENATE("          ","6381"," - ","BANK/CREDIT CARD FEES")</f>
        <v xml:space="preserve">          6381 - BANK/CREDIT CARD FEES</v>
      </c>
      <c r="C47" s="12"/>
      <c r="D47" s="8"/>
      <c r="E47" s="3"/>
      <c r="F47" s="7">
        <f t="shared" si="0"/>
        <v>0</v>
      </c>
      <c r="G47" s="3"/>
      <c r="H47" s="8">
        <v>4473</v>
      </c>
      <c r="I47" s="3"/>
      <c r="J47" s="7">
        <f t="shared" si="1"/>
        <v>3.9971047128840274E-2</v>
      </c>
      <c r="K47" s="3"/>
      <c r="L47" s="8">
        <f t="shared" si="2"/>
        <v>-4473</v>
      </c>
      <c r="M47" s="3"/>
      <c r="N47" s="7">
        <f t="shared" si="3"/>
        <v>-1</v>
      </c>
      <c r="O47" s="12"/>
      <c r="P47" s="8">
        <v>0.64</v>
      </c>
      <c r="Q47" s="3"/>
      <c r="R47" s="7">
        <f t="shared" si="4"/>
        <v>0</v>
      </c>
      <c r="S47" s="3"/>
      <c r="T47" s="8">
        <v>36834</v>
      </c>
      <c r="U47" s="3"/>
      <c r="V47" s="7">
        <f t="shared" si="5"/>
        <v>3.9970440495219368E-2</v>
      </c>
      <c r="W47" s="3"/>
      <c r="X47" s="8">
        <f t="shared" si="6"/>
        <v>-36833.360000000001</v>
      </c>
      <c r="Y47" s="3"/>
      <c r="Z47" s="7">
        <f t="shared" si="7"/>
        <v>-0.99998262474887334</v>
      </c>
    </row>
    <row r="48" spans="1:26" s="69" customFormat="1" ht="15" customHeight="1" outlineLevel="1" collapsed="1" x14ac:dyDescent="0.25">
      <c r="A48" s="26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SUM(OSRRefD22_4x_0)</f>
        <v>7400.03</v>
      </c>
      <c r="E48" s="2"/>
      <c r="F48" s="6">
        <f t="shared" si="0"/>
        <v>0</v>
      </c>
      <c r="G48" s="2"/>
      <c r="H48" s="2">
        <f>SUM(OSRRefH22_4x_0)</f>
        <v>6701</v>
      </c>
      <c r="I48" s="2"/>
      <c r="J48" s="6">
        <f t="shared" si="1"/>
        <v>5.9880614086822867E-2</v>
      </c>
      <c r="K48" s="2"/>
      <c r="L48" s="2">
        <f t="shared" si="2"/>
        <v>699.02999999999975</v>
      </c>
      <c r="M48" s="2"/>
      <c r="N48" s="6">
        <f t="shared" si="3"/>
        <v>0.10431726607968957</v>
      </c>
      <c r="O48" s="14"/>
      <c r="P48" s="2">
        <f>SUM(OSRRefP22_4x_0)</f>
        <v>75098.069999999992</v>
      </c>
      <c r="Q48" s="2"/>
      <c r="R48" s="6">
        <f t="shared" si="4"/>
        <v>0</v>
      </c>
      <c r="S48" s="2"/>
      <c r="T48" s="2">
        <f>SUM(OSRRefT22_4x_0)</f>
        <v>73799</v>
      </c>
      <c r="U48" s="2"/>
      <c r="V48" s="6">
        <f t="shared" si="5"/>
        <v>8.0083035730756758E-2</v>
      </c>
      <c r="W48" s="2"/>
      <c r="X48" s="2">
        <f t="shared" si="6"/>
        <v>1299.0699999999924</v>
      </c>
      <c r="Y48" s="2"/>
      <c r="Z48" s="6">
        <f t="shared" si="7"/>
        <v>1.7602813046247136E-2</v>
      </c>
    </row>
    <row r="49" spans="1:26" s="70" customFormat="1" ht="15" hidden="1" customHeight="1" outlineLevel="2" x14ac:dyDescent="0.25">
      <c r="A49" s="25"/>
      <c r="B49" s="12" t="str">
        <f>CONCATENATE("          ","6321"," - ","BUILDING DEPRECIATION")</f>
        <v xml:space="preserve">          6321 - BUILDING DEPRECIATION</v>
      </c>
      <c r="C49" s="12"/>
      <c r="D49" s="8">
        <v>6492.96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6492.96</v>
      </c>
      <c r="M49" s="3"/>
      <c r="N49" s="7">
        <f t="shared" si="3"/>
        <v>0</v>
      </c>
      <c r="O49" s="12"/>
      <c r="P49" s="8">
        <v>71510.7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71510.7</v>
      </c>
      <c r="Y49" s="3"/>
      <c r="Z49" s="7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","6322"," - ","EQUIPMENT DEPRECIATION EXPENSE")</f>
        <v xml:space="preserve">          6322 - EQUIPMENT DEPRECIATION EXPENSE</v>
      </c>
      <c r="C50" s="12"/>
      <c r="D50" s="8">
        <v>907.07</v>
      </c>
      <c r="E50" s="3"/>
      <c r="F50" s="7">
        <f t="shared" si="0"/>
        <v>0</v>
      </c>
      <c r="G50" s="3"/>
      <c r="H50" s="8">
        <v>6701</v>
      </c>
      <c r="I50" s="3"/>
      <c r="J50" s="7">
        <f t="shared" si="1"/>
        <v>5.9880614086822867E-2</v>
      </c>
      <c r="K50" s="3"/>
      <c r="L50" s="8">
        <f t="shared" si="2"/>
        <v>-5793.93</v>
      </c>
      <c r="M50" s="3"/>
      <c r="N50" s="7">
        <f t="shared" si="3"/>
        <v>-0.86463662139979114</v>
      </c>
      <c r="O50" s="12"/>
      <c r="P50" s="8">
        <v>3587.37</v>
      </c>
      <c r="Q50" s="3"/>
      <c r="R50" s="7">
        <f t="shared" si="4"/>
        <v>0</v>
      </c>
      <c r="S50" s="3"/>
      <c r="T50" s="8">
        <v>73799</v>
      </c>
      <c r="U50" s="3"/>
      <c r="V50" s="7">
        <f t="shared" si="5"/>
        <v>8.0083035730756758E-2</v>
      </c>
      <c r="W50" s="3"/>
      <c r="X50" s="8">
        <f t="shared" si="6"/>
        <v>-70211.63</v>
      </c>
      <c r="Y50" s="3"/>
      <c r="Z50" s="7">
        <f t="shared" si="7"/>
        <v>-0.95138999173430538</v>
      </c>
    </row>
    <row r="51" spans="1:26" s="69" customFormat="1" ht="15" customHeight="1" outlineLevel="1" collapsed="1" x14ac:dyDescent="0.25">
      <c r="A51" s="26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SUM(OSRRefD22_5x_0)</f>
        <v>0</v>
      </c>
      <c r="E51" s="2"/>
      <c r="F51" s="6">
        <f t="shared" si="0"/>
        <v>0</v>
      </c>
      <c r="G51" s="2"/>
      <c r="H51" s="2">
        <f>SUM(OSRRefH22_5x_0)</f>
        <v>20</v>
      </c>
      <c r="I51" s="2"/>
      <c r="J51" s="6">
        <f t="shared" si="1"/>
        <v>1.7872142691187246E-4</v>
      </c>
      <c r="K51" s="2"/>
      <c r="L51" s="2">
        <f t="shared" si="2"/>
        <v>-20</v>
      </c>
      <c r="M51" s="2"/>
      <c r="N51" s="6">
        <f t="shared" si="3"/>
        <v>-1</v>
      </c>
      <c r="O51" s="14"/>
      <c r="P51" s="2">
        <f>SUM(OSRRefP22_5x_0)</f>
        <v>49.95</v>
      </c>
      <c r="Q51" s="2"/>
      <c r="R51" s="6">
        <f t="shared" si="4"/>
        <v>0</v>
      </c>
      <c r="S51" s="2"/>
      <c r="T51" s="2">
        <f>SUM(OSRRefT22_5x_0)</f>
        <v>140</v>
      </c>
      <c r="U51" s="2"/>
      <c r="V51" s="6">
        <f t="shared" si="5"/>
        <v>1.5192109652306868E-4</v>
      </c>
      <c r="W51" s="2"/>
      <c r="X51" s="2">
        <f t="shared" si="6"/>
        <v>-90.05</v>
      </c>
      <c r="Y51" s="2"/>
      <c r="Z51" s="6">
        <f t="shared" si="7"/>
        <v>-0.64321428571428574</v>
      </c>
    </row>
    <row r="52" spans="1:26" s="70" customFormat="1" ht="15" hidden="1" customHeight="1" outlineLevel="2" x14ac:dyDescent="0.25">
      <c r="A52" s="25"/>
      <c r="B52" s="12" t="str">
        <f>CONCATENATE("          ","6277"," - ","EMPLOYEE APPRECIATION")</f>
        <v xml:space="preserve">          6277 - EMPLOYEE APPRECIATION</v>
      </c>
      <c r="C52" s="12"/>
      <c r="D52" s="8"/>
      <c r="E52" s="3"/>
      <c r="F52" s="7">
        <f t="shared" si="0"/>
        <v>0</v>
      </c>
      <c r="G52" s="3"/>
      <c r="H52" s="8">
        <v>20</v>
      </c>
      <c r="I52" s="3"/>
      <c r="J52" s="7">
        <f t="shared" si="1"/>
        <v>1.7872142691187246E-4</v>
      </c>
      <c r="K52" s="3"/>
      <c r="L52" s="8">
        <f t="shared" si="2"/>
        <v>-20</v>
      </c>
      <c r="M52" s="3"/>
      <c r="N52" s="7">
        <f t="shared" si="3"/>
        <v>-1</v>
      </c>
      <c r="O52" s="12"/>
      <c r="P52" s="8">
        <v>49.95</v>
      </c>
      <c r="Q52" s="3"/>
      <c r="R52" s="7">
        <f t="shared" si="4"/>
        <v>0</v>
      </c>
      <c r="S52" s="3"/>
      <c r="T52" s="8">
        <v>140</v>
      </c>
      <c r="U52" s="3"/>
      <c r="V52" s="7">
        <f t="shared" si="5"/>
        <v>1.5192109652306868E-4</v>
      </c>
      <c r="W52" s="3"/>
      <c r="X52" s="8">
        <f t="shared" si="6"/>
        <v>-90.05</v>
      </c>
      <c r="Y52" s="3"/>
      <c r="Z52" s="7">
        <f t="shared" si="7"/>
        <v>-0.64321428571428574</v>
      </c>
    </row>
    <row r="53" spans="1:26" s="69" customFormat="1" ht="15" customHeight="1" outlineLevel="1" collapsed="1" x14ac:dyDescent="0.25">
      <c r="A53" s="26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SUM(OSRRefD22_6x_0)</f>
        <v>397.92</v>
      </c>
      <c r="E53" s="2"/>
      <c r="F53" s="6">
        <f t="shared" si="0"/>
        <v>0</v>
      </c>
      <c r="G53" s="2"/>
      <c r="H53" s="2">
        <f>SUM(OSRRefH22_6x_0)</f>
        <v>200</v>
      </c>
      <c r="I53" s="2"/>
      <c r="J53" s="6">
        <f t="shared" si="1"/>
        <v>1.7872142691187246E-3</v>
      </c>
      <c r="K53" s="2"/>
      <c r="L53" s="2">
        <f t="shared" si="2"/>
        <v>197.92000000000002</v>
      </c>
      <c r="M53" s="2"/>
      <c r="N53" s="6">
        <f t="shared" si="3"/>
        <v>0.98960000000000004</v>
      </c>
      <c r="O53" s="14"/>
      <c r="P53" s="2">
        <f>SUM(OSRRefP22_6x_0)</f>
        <v>6149.59</v>
      </c>
      <c r="Q53" s="2"/>
      <c r="R53" s="6">
        <f t="shared" si="4"/>
        <v>0</v>
      </c>
      <c r="S53" s="2"/>
      <c r="T53" s="2">
        <f>SUM(OSRRefT22_6x_0)</f>
        <v>2200</v>
      </c>
      <c r="U53" s="2"/>
      <c r="V53" s="6">
        <f t="shared" si="5"/>
        <v>2.387331516791079E-3</v>
      </c>
      <c r="W53" s="2"/>
      <c r="X53" s="2">
        <f t="shared" si="6"/>
        <v>3949.59</v>
      </c>
      <c r="Y53" s="2"/>
      <c r="Z53" s="6">
        <f t="shared" si="7"/>
        <v>1.7952681818181819</v>
      </c>
    </row>
    <row r="54" spans="1:26" s="70" customFormat="1" ht="15" hidden="1" customHeight="1" outlineLevel="2" x14ac:dyDescent="0.25">
      <c r="A54" s="25"/>
      <c r="B54" s="12" t="str">
        <f>CONCATENATE("          ","6351"," - ","EQUIPMENT RENTAL")</f>
        <v xml:space="preserve">          6351 - EQUIPMENT RENTAL</v>
      </c>
      <c r="C54" s="12"/>
      <c r="D54" s="8">
        <v>397.92</v>
      </c>
      <c r="E54" s="3"/>
      <c r="F54" s="7">
        <f t="shared" ref="F54:F86" si="8">IF(D$12=0,0,D54/D$12)</f>
        <v>0</v>
      </c>
      <c r="G54" s="3"/>
      <c r="H54" s="8">
        <v>200</v>
      </c>
      <c r="I54" s="3"/>
      <c r="J54" s="7">
        <f t="shared" ref="J54:J86" si="9">IF(H$12=0,0,H54/H$12)</f>
        <v>1.7872142691187246E-3</v>
      </c>
      <c r="K54" s="3"/>
      <c r="L54" s="8">
        <f t="shared" ref="L54:L86" si="10">+D54-H54</f>
        <v>197.92000000000002</v>
      </c>
      <c r="M54" s="3"/>
      <c r="N54" s="7">
        <f t="shared" ref="N54:N86" si="11">IF(H54=0,0,L54/H54)</f>
        <v>0.98960000000000004</v>
      </c>
      <c r="O54" s="12"/>
      <c r="P54" s="8">
        <v>6149.59</v>
      </c>
      <c r="Q54" s="3"/>
      <c r="R54" s="7">
        <f t="shared" ref="R54:R86" si="12">IF(P$12=0,0,P54/P$12)</f>
        <v>0</v>
      </c>
      <c r="S54" s="3"/>
      <c r="T54" s="8">
        <v>2200</v>
      </c>
      <c r="U54" s="3"/>
      <c r="V54" s="7">
        <f t="shared" ref="V54:V86" si="13">IF(T$12=0,0,T54/T$12)</f>
        <v>2.387331516791079E-3</v>
      </c>
      <c r="W54" s="3"/>
      <c r="X54" s="8">
        <f t="shared" ref="X54:X86" si="14">+P54-T54</f>
        <v>3949.59</v>
      </c>
      <c r="Y54" s="3"/>
      <c r="Z54" s="7">
        <f t="shared" ref="Z54:Z86" si="15">IF(T54=0,0,X54/T54)</f>
        <v>1.7952681818181819</v>
      </c>
    </row>
    <row r="55" spans="1:26" s="69" customFormat="1" ht="15" customHeight="1" outlineLevel="1" collapsed="1" x14ac:dyDescent="0.25">
      <c r="A55" s="26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SUM(OSRRefD22_7x_0)</f>
        <v>0</v>
      </c>
      <c r="E55" s="2"/>
      <c r="F55" s="6">
        <f t="shared" si="8"/>
        <v>0</v>
      </c>
      <c r="G55" s="2"/>
      <c r="H55" s="2">
        <f>SUM(OSRRefH22_7x_0)</f>
        <v>0</v>
      </c>
      <c r="I55" s="2"/>
      <c r="J55" s="6">
        <f t="shared" si="9"/>
        <v>0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SUM(OSRRefP22_7x_0)</f>
        <v>3074.55</v>
      </c>
      <c r="Q55" s="2"/>
      <c r="R55" s="6">
        <f t="shared" si="12"/>
        <v>0</v>
      </c>
      <c r="S55" s="2"/>
      <c r="T55" s="2">
        <f>SUM(OSRRefT22_7x_0)</f>
        <v>2400</v>
      </c>
      <c r="U55" s="2"/>
      <c r="V55" s="6">
        <f t="shared" si="13"/>
        <v>2.6043616546811772E-3</v>
      </c>
      <c r="W55" s="2"/>
      <c r="X55" s="2">
        <f t="shared" si="14"/>
        <v>674.55000000000018</v>
      </c>
      <c r="Y55" s="2"/>
      <c r="Z55" s="6">
        <f t="shared" si="15"/>
        <v>0.28106250000000005</v>
      </c>
    </row>
    <row r="56" spans="1:26" s="70" customFormat="1" ht="15" hidden="1" customHeight="1" outlineLevel="2" x14ac:dyDescent="0.25">
      <c r="A56" s="25"/>
      <c r="B56" s="12" t="str">
        <f>CONCATENATE("          ","6269"," - ","ENTERTAINMENT")</f>
        <v xml:space="preserve">          6269 - ENTERTAINMENT</v>
      </c>
      <c r="C56" s="12"/>
      <c r="D56" s="8"/>
      <c r="E56" s="3"/>
      <c r="F56" s="7">
        <f t="shared" si="8"/>
        <v>0</v>
      </c>
      <c r="G56" s="3"/>
      <c r="H56" s="8"/>
      <c r="I56" s="3"/>
      <c r="J56" s="7">
        <f t="shared" si="9"/>
        <v>0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/>
      <c r="Q56" s="3"/>
      <c r="R56" s="7">
        <f t="shared" si="12"/>
        <v>0</v>
      </c>
      <c r="S56" s="3"/>
      <c r="T56" s="8">
        <v>500</v>
      </c>
      <c r="U56" s="3"/>
      <c r="V56" s="7">
        <f t="shared" si="13"/>
        <v>5.4257534472524531E-4</v>
      </c>
      <c r="W56" s="3"/>
      <c r="X56" s="8">
        <f t="shared" si="14"/>
        <v>-500</v>
      </c>
      <c r="Y56" s="3"/>
      <c r="Z56" s="7">
        <f t="shared" si="15"/>
        <v>-1</v>
      </c>
    </row>
    <row r="57" spans="1:26" s="70" customFormat="1" ht="15" hidden="1" customHeight="1" outlineLevel="2" x14ac:dyDescent="0.25">
      <c r="A57" s="25"/>
      <c r="B57" s="12" t="str">
        <f>CONCATENATE("          ","6279"," - ","GENERAL EXPENSE")</f>
        <v xml:space="preserve">          6279 - GENERAL EXPENSE</v>
      </c>
      <c r="C57" s="12"/>
      <c r="D57" s="8"/>
      <c r="E57" s="3"/>
      <c r="F57" s="7">
        <f t="shared" si="8"/>
        <v>0</v>
      </c>
      <c r="G57" s="3"/>
      <c r="H57" s="8"/>
      <c r="I57" s="3"/>
      <c r="J57" s="7">
        <f t="shared" si="9"/>
        <v>0</v>
      </c>
      <c r="K57" s="3"/>
      <c r="L57" s="8">
        <f t="shared" si="10"/>
        <v>0</v>
      </c>
      <c r="M57" s="3"/>
      <c r="N57" s="7">
        <f t="shared" si="11"/>
        <v>0</v>
      </c>
      <c r="O57" s="12"/>
      <c r="P57" s="8">
        <v>3074.55</v>
      </c>
      <c r="Q57" s="3"/>
      <c r="R57" s="7">
        <f t="shared" si="12"/>
        <v>0</v>
      </c>
      <c r="S57" s="3"/>
      <c r="T57" s="8">
        <v>1900</v>
      </c>
      <c r="U57" s="3"/>
      <c r="V57" s="7">
        <f t="shared" si="13"/>
        <v>2.0617863099559319E-3</v>
      </c>
      <c r="W57" s="3"/>
      <c r="X57" s="8">
        <f t="shared" si="14"/>
        <v>1174.5500000000002</v>
      </c>
      <c r="Y57" s="3"/>
      <c r="Z57" s="7">
        <f t="shared" si="15"/>
        <v>0.61818421052631589</v>
      </c>
    </row>
    <row r="58" spans="1:26" s="69" customFormat="1" ht="15" customHeight="1" outlineLevel="1" collapsed="1" x14ac:dyDescent="0.25">
      <c r="A58" s="26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SUM(OSRRefD22_8x_0)</f>
        <v>1671.39</v>
      </c>
      <c r="E58" s="2"/>
      <c r="F58" s="6">
        <f t="shared" si="8"/>
        <v>0</v>
      </c>
      <c r="G58" s="2"/>
      <c r="H58" s="2">
        <f>SUM(OSRRefH22_8x_0)</f>
        <v>1679</v>
      </c>
      <c r="I58" s="2"/>
      <c r="J58" s="6">
        <f t="shared" si="9"/>
        <v>1.5003663789251694E-2</v>
      </c>
      <c r="K58" s="2"/>
      <c r="L58" s="2">
        <f t="shared" si="10"/>
        <v>-7.6099999999999</v>
      </c>
      <c r="M58" s="2"/>
      <c r="N58" s="6">
        <f t="shared" si="11"/>
        <v>-4.5324597974984518E-3</v>
      </c>
      <c r="O58" s="14"/>
      <c r="P58" s="2">
        <f>SUM(OSRRefP22_8x_0)</f>
        <v>10386.959999999999</v>
      </c>
      <c r="Q58" s="2"/>
      <c r="R58" s="6">
        <f t="shared" si="12"/>
        <v>0</v>
      </c>
      <c r="S58" s="2"/>
      <c r="T58" s="2">
        <f>SUM(OSRRefT22_8x_0)</f>
        <v>26881</v>
      </c>
      <c r="U58" s="2"/>
      <c r="V58" s="6">
        <f t="shared" si="13"/>
        <v>2.9169935683118636E-2</v>
      </c>
      <c r="W58" s="2"/>
      <c r="X58" s="2">
        <f t="shared" si="14"/>
        <v>-16494.04</v>
      </c>
      <c r="Y58" s="2"/>
      <c r="Z58" s="6">
        <f t="shared" si="15"/>
        <v>-0.61359473233882666</v>
      </c>
    </row>
    <row r="59" spans="1:26" s="70" customFormat="1" ht="15" hidden="1" customHeight="1" outlineLevel="2" x14ac:dyDescent="0.25">
      <c r="A59" s="25"/>
      <c r="B59" s="12" t="str">
        <f>CONCATENATE("          ","6373"," - ","MAINTENANCE CONTRACTS")</f>
        <v xml:space="preserve">          6373 - MAINTENANCE CONTRACTS</v>
      </c>
      <c r="C59" s="12"/>
      <c r="D59" s="8"/>
      <c r="E59" s="3"/>
      <c r="F59" s="7">
        <f t="shared" si="8"/>
        <v>0</v>
      </c>
      <c r="G59" s="3"/>
      <c r="H59" s="8"/>
      <c r="I59" s="3"/>
      <c r="J59" s="7">
        <f t="shared" si="9"/>
        <v>0</v>
      </c>
      <c r="K59" s="3"/>
      <c r="L59" s="8">
        <f t="shared" si="10"/>
        <v>0</v>
      </c>
      <c r="M59" s="3"/>
      <c r="N59" s="7">
        <f t="shared" si="11"/>
        <v>0</v>
      </c>
      <c r="O59" s="12"/>
      <c r="P59" s="8">
        <v>3567.59</v>
      </c>
      <c r="Q59" s="3"/>
      <c r="R59" s="7">
        <f t="shared" si="12"/>
        <v>0</v>
      </c>
      <c r="S59" s="3"/>
      <c r="T59" s="8">
        <v>2000</v>
      </c>
      <c r="U59" s="3"/>
      <c r="V59" s="7">
        <f t="shared" si="13"/>
        <v>2.1703013789009813E-3</v>
      </c>
      <c r="W59" s="3"/>
      <c r="X59" s="8">
        <f t="shared" si="14"/>
        <v>1567.5900000000001</v>
      </c>
      <c r="Y59" s="3"/>
      <c r="Z59" s="7">
        <f t="shared" si="15"/>
        <v>0.78379500000000002</v>
      </c>
    </row>
    <row r="60" spans="1:26" s="70" customFormat="1" ht="15" hidden="1" customHeight="1" outlineLevel="2" x14ac:dyDescent="0.25">
      <c r="A60" s="25"/>
      <c r="B60" s="12" t="str">
        <f>CONCATENATE("          ","6375"," - ","OUTSIDE REPAIRS &amp; MAINTENANCE")</f>
        <v xml:space="preserve">          6375 - OUTSIDE REPAIRS &amp; MAINTENANCE</v>
      </c>
      <c r="C60" s="12"/>
      <c r="D60" s="8">
        <v>1671.39</v>
      </c>
      <c r="E60" s="3"/>
      <c r="F60" s="7">
        <f t="shared" si="8"/>
        <v>0</v>
      </c>
      <c r="G60" s="3"/>
      <c r="H60" s="8">
        <v>1679</v>
      </c>
      <c r="I60" s="3"/>
      <c r="J60" s="7">
        <f t="shared" si="9"/>
        <v>1.5003663789251694E-2</v>
      </c>
      <c r="K60" s="3"/>
      <c r="L60" s="8">
        <f t="shared" si="10"/>
        <v>-7.6099999999999</v>
      </c>
      <c r="M60" s="3"/>
      <c r="N60" s="7">
        <f t="shared" si="11"/>
        <v>-4.5324597974984518E-3</v>
      </c>
      <c r="O60" s="12"/>
      <c r="P60" s="8">
        <v>6819.37</v>
      </c>
      <c r="Q60" s="3"/>
      <c r="R60" s="7">
        <f t="shared" si="12"/>
        <v>0</v>
      </c>
      <c r="S60" s="3"/>
      <c r="T60" s="8">
        <v>24881</v>
      </c>
      <c r="U60" s="3"/>
      <c r="V60" s="7">
        <f t="shared" si="13"/>
        <v>2.6999634304217656E-2</v>
      </c>
      <c r="W60" s="3"/>
      <c r="X60" s="8">
        <f t="shared" si="14"/>
        <v>-18061.63</v>
      </c>
      <c r="Y60" s="3"/>
      <c r="Z60" s="7">
        <f t="shared" si="15"/>
        <v>-0.72592058197017806</v>
      </c>
    </row>
    <row r="61" spans="1:26" s="69" customFormat="1" ht="15" customHeight="1" outlineLevel="1" collapsed="1" x14ac:dyDescent="0.25">
      <c r="A61" s="26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SUM(OSRRefD22_9x_0)</f>
        <v>0</v>
      </c>
      <c r="E61" s="2"/>
      <c r="F61" s="6">
        <f t="shared" si="8"/>
        <v>0</v>
      </c>
      <c r="G61" s="2"/>
      <c r="H61" s="2">
        <f>SUM(OSRRefH22_9x_0)</f>
        <v>3225</v>
      </c>
      <c r="I61" s="2"/>
      <c r="J61" s="6">
        <f t="shared" si="9"/>
        <v>2.8818830089539435E-2</v>
      </c>
      <c r="K61" s="2"/>
      <c r="L61" s="2">
        <f t="shared" si="10"/>
        <v>-3225</v>
      </c>
      <c r="M61" s="2"/>
      <c r="N61" s="6">
        <f t="shared" si="11"/>
        <v>-1</v>
      </c>
      <c r="O61" s="14"/>
      <c r="P61" s="2">
        <f>SUM(OSRRefP22_9x_0)</f>
        <v>260</v>
      </c>
      <c r="Q61" s="2"/>
      <c r="R61" s="6">
        <f t="shared" si="12"/>
        <v>0</v>
      </c>
      <c r="S61" s="2"/>
      <c r="T61" s="2">
        <f>SUM(OSRRefT22_9x_0)</f>
        <v>32550</v>
      </c>
      <c r="U61" s="2"/>
      <c r="V61" s="6">
        <f t="shared" si="13"/>
        <v>3.5321654941613469E-2</v>
      </c>
      <c r="W61" s="2"/>
      <c r="X61" s="2">
        <f t="shared" si="14"/>
        <v>-32290</v>
      </c>
      <c r="Y61" s="2"/>
      <c r="Z61" s="6">
        <f t="shared" si="15"/>
        <v>-0.99201228878648229</v>
      </c>
    </row>
    <row r="62" spans="1:26" s="70" customFormat="1" ht="15" hidden="1" customHeight="1" outlineLevel="2" x14ac:dyDescent="0.25">
      <c r="A62" s="25"/>
      <c r="B62" s="12" t="str">
        <f>CONCATENATE("          ","6283"," - ","PLANT SERVICE")</f>
        <v xml:space="preserve">          6283 - PLANT SERVICE</v>
      </c>
      <c r="C62" s="12"/>
      <c r="D62" s="8"/>
      <c r="E62" s="3"/>
      <c r="F62" s="7">
        <f t="shared" si="8"/>
        <v>0</v>
      </c>
      <c r="G62" s="3"/>
      <c r="H62" s="8">
        <v>100</v>
      </c>
      <c r="I62" s="3"/>
      <c r="J62" s="7">
        <f t="shared" si="9"/>
        <v>8.9360713455936228E-4</v>
      </c>
      <c r="K62" s="3"/>
      <c r="L62" s="8">
        <f t="shared" si="10"/>
        <v>-100</v>
      </c>
      <c r="M62" s="3"/>
      <c r="N62" s="7">
        <f t="shared" si="11"/>
        <v>-1</v>
      </c>
      <c r="O62" s="12"/>
      <c r="P62" s="8"/>
      <c r="Q62" s="3"/>
      <c r="R62" s="7">
        <f t="shared" si="12"/>
        <v>0</v>
      </c>
      <c r="S62" s="3"/>
      <c r="T62" s="8">
        <v>1100</v>
      </c>
      <c r="U62" s="3"/>
      <c r="V62" s="7">
        <f t="shared" si="13"/>
        <v>1.1936657583955395E-3</v>
      </c>
      <c r="W62" s="3"/>
      <c r="X62" s="8">
        <f t="shared" si="14"/>
        <v>-1100</v>
      </c>
      <c r="Y62" s="3"/>
      <c r="Z62" s="7">
        <f t="shared" si="15"/>
        <v>-1</v>
      </c>
    </row>
    <row r="63" spans="1:26" s="70" customFormat="1" ht="15" hidden="1" customHeight="1" outlineLevel="2" x14ac:dyDescent="0.25">
      <c r="A63" s="25"/>
      <c r="B63" s="12" t="str">
        <f>CONCATENATE("          ","6284"," - ","TRASH REMOVAL EXPENSE")</f>
        <v xml:space="preserve">          6284 - TRASH REMOVAL EXPENSE</v>
      </c>
      <c r="C63" s="12"/>
      <c r="D63" s="8"/>
      <c r="E63" s="3"/>
      <c r="F63" s="7">
        <f t="shared" si="8"/>
        <v>0</v>
      </c>
      <c r="G63" s="3"/>
      <c r="H63" s="8"/>
      <c r="I63" s="3"/>
      <c r="J63" s="7">
        <f t="shared" si="9"/>
        <v>0</v>
      </c>
      <c r="K63" s="3"/>
      <c r="L63" s="8">
        <f t="shared" si="10"/>
        <v>0</v>
      </c>
      <c r="M63" s="3"/>
      <c r="N63" s="7">
        <f t="shared" si="11"/>
        <v>0</v>
      </c>
      <c r="O63" s="12"/>
      <c r="P63" s="8"/>
      <c r="Q63" s="3"/>
      <c r="R63" s="7">
        <f t="shared" si="12"/>
        <v>0</v>
      </c>
      <c r="S63" s="3"/>
      <c r="T63" s="8">
        <v>0</v>
      </c>
      <c r="U63" s="3"/>
      <c r="V63" s="7">
        <f t="shared" si="13"/>
        <v>0</v>
      </c>
      <c r="W63" s="3"/>
      <c r="X63" s="8">
        <f t="shared" si="14"/>
        <v>0</v>
      </c>
      <c r="Y63" s="3"/>
      <c r="Z63" s="7">
        <f t="shared" si="15"/>
        <v>0</v>
      </c>
    </row>
    <row r="64" spans="1:26" s="70" customFormat="1" ht="15" hidden="1" customHeight="1" outlineLevel="2" x14ac:dyDescent="0.25">
      <c r="A64" s="25"/>
      <c r="B64" s="12" t="str">
        <f>CONCATENATE("          ","6285"," - ","JANITORIAL SERVICES")</f>
        <v xml:space="preserve">          6285 - JANITORIAL SERVICES</v>
      </c>
      <c r="C64" s="12"/>
      <c r="D64" s="8"/>
      <c r="E64" s="3"/>
      <c r="F64" s="7">
        <f t="shared" si="8"/>
        <v>0</v>
      </c>
      <c r="G64" s="3"/>
      <c r="H64" s="8">
        <v>3100</v>
      </c>
      <c r="I64" s="3"/>
      <c r="J64" s="7">
        <f t="shared" si="9"/>
        <v>2.7701821171340232E-2</v>
      </c>
      <c r="K64" s="3"/>
      <c r="L64" s="8">
        <f t="shared" si="10"/>
        <v>-3100</v>
      </c>
      <c r="M64" s="3"/>
      <c r="N64" s="7">
        <f t="shared" si="11"/>
        <v>-1</v>
      </c>
      <c r="O64" s="12"/>
      <c r="P64" s="8">
        <v>260</v>
      </c>
      <c r="Q64" s="3"/>
      <c r="R64" s="7">
        <f t="shared" si="12"/>
        <v>0</v>
      </c>
      <c r="S64" s="3"/>
      <c r="T64" s="8">
        <v>31000</v>
      </c>
      <c r="U64" s="3"/>
      <c r="V64" s="7">
        <f t="shared" si="13"/>
        <v>3.363967137296521E-2</v>
      </c>
      <c r="W64" s="3"/>
      <c r="X64" s="8">
        <f t="shared" si="14"/>
        <v>-30740</v>
      </c>
      <c r="Y64" s="3"/>
      <c r="Z64" s="7">
        <f t="shared" si="15"/>
        <v>-0.99161290322580642</v>
      </c>
    </row>
    <row r="65" spans="1:26" s="70" customFormat="1" ht="15" hidden="1" customHeight="1" outlineLevel="2" x14ac:dyDescent="0.25">
      <c r="A65" s="25"/>
      <c r="B65" s="12" t="str">
        <f>CONCATENATE("          ","6286"," - ","LAUNDRY EXPENSE")</f>
        <v xml:space="preserve">          6286 - LAUNDRY EXPENSE</v>
      </c>
      <c r="C65" s="12"/>
      <c r="D65" s="8"/>
      <c r="E65" s="3"/>
      <c r="F65" s="7">
        <f t="shared" si="8"/>
        <v>0</v>
      </c>
      <c r="G65" s="3"/>
      <c r="H65" s="8">
        <v>25</v>
      </c>
      <c r="I65" s="3"/>
      <c r="J65" s="7">
        <f t="shared" si="9"/>
        <v>2.2340178363984057E-4</v>
      </c>
      <c r="K65" s="3"/>
      <c r="L65" s="8">
        <f t="shared" si="10"/>
        <v>-25</v>
      </c>
      <c r="M65" s="3"/>
      <c r="N65" s="7">
        <f t="shared" si="11"/>
        <v>-1</v>
      </c>
      <c r="O65" s="12"/>
      <c r="P65" s="8"/>
      <c r="Q65" s="3"/>
      <c r="R65" s="7">
        <f t="shared" si="12"/>
        <v>0</v>
      </c>
      <c r="S65" s="3"/>
      <c r="T65" s="8">
        <v>450</v>
      </c>
      <c r="U65" s="3"/>
      <c r="V65" s="7">
        <f t="shared" si="13"/>
        <v>4.8831781025272076E-4</v>
      </c>
      <c r="W65" s="3"/>
      <c r="X65" s="8">
        <f t="shared" si="14"/>
        <v>-450</v>
      </c>
      <c r="Y65" s="3"/>
      <c r="Z65" s="7">
        <f t="shared" si="15"/>
        <v>-1</v>
      </c>
    </row>
    <row r="66" spans="1:26" s="69" customFormat="1" ht="15" customHeight="1" outlineLevel="1" collapsed="1" x14ac:dyDescent="0.25">
      <c r="A66" s="26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SUM(OSRRefD22_10x_0)</f>
        <v>411.88</v>
      </c>
      <c r="E66" s="2"/>
      <c r="F66" s="6">
        <f t="shared" si="8"/>
        <v>0</v>
      </c>
      <c r="G66" s="2"/>
      <c r="H66" s="2">
        <f>SUM(OSRRefH22_10x_0)</f>
        <v>200</v>
      </c>
      <c r="I66" s="2"/>
      <c r="J66" s="6">
        <f t="shared" si="9"/>
        <v>1.7872142691187246E-3</v>
      </c>
      <c r="K66" s="2"/>
      <c r="L66" s="2">
        <f t="shared" si="10"/>
        <v>211.88</v>
      </c>
      <c r="M66" s="2"/>
      <c r="N66" s="6">
        <f t="shared" si="11"/>
        <v>1.0593999999999999</v>
      </c>
      <c r="O66" s="14"/>
      <c r="P66" s="2">
        <f>SUM(OSRRefP22_10x_0)</f>
        <v>2497.75</v>
      </c>
      <c r="Q66" s="2"/>
      <c r="R66" s="6">
        <f t="shared" si="12"/>
        <v>0</v>
      </c>
      <c r="S66" s="2"/>
      <c r="T66" s="2">
        <f>SUM(OSRRefT22_10x_0)</f>
        <v>2000</v>
      </c>
      <c r="U66" s="2"/>
      <c r="V66" s="6">
        <f t="shared" si="13"/>
        <v>2.1703013789009813E-3</v>
      </c>
      <c r="W66" s="2"/>
      <c r="X66" s="2">
        <f t="shared" si="14"/>
        <v>497.75</v>
      </c>
      <c r="Y66" s="2"/>
      <c r="Z66" s="6">
        <f t="shared" si="15"/>
        <v>0.24887500000000001</v>
      </c>
    </row>
    <row r="67" spans="1:26" s="70" customFormat="1" ht="15" hidden="1" customHeight="1" outlineLevel="2" x14ac:dyDescent="0.25">
      <c r="A67" s="25"/>
      <c r="B67" s="12" t="str">
        <f>CONCATENATE("          ","6275"," - ","SUBSCRIPTIONS")</f>
        <v xml:space="preserve">          6275 - SUBSCRIPTIONS</v>
      </c>
      <c r="C67" s="12"/>
      <c r="D67" s="8">
        <v>411.88</v>
      </c>
      <c r="E67" s="3"/>
      <c r="F67" s="7">
        <f t="shared" si="8"/>
        <v>0</v>
      </c>
      <c r="G67" s="3"/>
      <c r="H67" s="8">
        <v>200</v>
      </c>
      <c r="I67" s="3"/>
      <c r="J67" s="7">
        <f t="shared" si="9"/>
        <v>1.7872142691187246E-3</v>
      </c>
      <c r="K67" s="3"/>
      <c r="L67" s="8">
        <f t="shared" si="10"/>
        <v>211.88</v>
      </c>
      <c r="M67" s="3"/>
      <c r="N67" s="7">
        <f t="shared" si="11"/>
        <v>1.0593999999999999</v>
      </c>
      <c r="O67" s="12"/>
      <c r="P67" s="8">
        <v>2497.75</v>
      </c>
      <c r="Q67" s="3"/>
      <c r="R67" s="7">
        <f t="shared" si="12"/>
        <v>0</v>
      </c>
      <c r="S67" s="3"/>
      <c r="T67" s="8">
        <v>2000</v>
      </c>
      <c r="U67" s="3"/>
      <c r="V67" s="7">
        <f t="shared" si="13"/>
        <v>2.1703013789009813E-3</v>
      </c>
      <c r="W67" s="3"/>
      <c r="X67" s="8">
        <f t="shared" si="14"/>
        <v>497.75</v>
      </c>
      <c r="Y67" s="3"/>
      <c r="Z67" s="7">
        <f t="shared" si="15"/>
        <v>0.24887500000000001</v>
      </c>
    </row>
    <row r="68" spans="1:26" s="69" customFormat="1" ht="15" customHeight="1" outlineLevel="1" collapsed="1" x14ac:dyDescent="0.25">
      <c r="A68" s="26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SUM(OSRRefD22_11x_0)</f>
        <v>418</v>
      </c>
      <c r="E68" s="2"/>
      <c r="F68" s="6">
        <f t="shared" si="8"/>
        <v>0</v>
      </c>
      <c r="G68" s="2"/>
      <c r="H68" s="2">
        <f>SUM(OSRRefH22_11x_0)</f>
        <v>500</v>
      </c>
      <c r="I68" s="2"/>
      <c r="J68" s="6">
        <f t="shared" si="9"/>
        <v>4.4680356727968117E-3</v>
      </c>
      <c r="K68" s="2"/>
      <c r="L68" s="2">
        <f t="shared" si="10"/>
        <v>-82</v>
      </c>
      <c r="M68" s="2"/>
      <c r="N68" s="6">
        <f t="shared" si="11"/>
        <v>-0.16400000000000001</v>
      </c>
      <c r="O68" s="14"/>
      <c r="P68" s="2">
        <f>SUM(OSRRefP22_11x_0)</f>
        <v>2834.56</v>
      </c>
      <c r="Q68" s="2"/>
      <c r="R68" s="6">
        <f t="shared" si="12"/>
        <v>0</v>
      </c>
      <c r="S68" s="2"/>
      <c r="T68" s="2">
        <f>SUM(OSRRefT22_11x_0)</f>
        <v>12550</v>
      </c>
      <c r="U68" s="2"/>
      <c r="V68" s="6">
        <f t="shared" si="13"/>
        <v>1.3618641152603656E-2</v>
      </c>
      <c r="W68" s="2"/>
      <c r="X68" s="2">
        <f t="shared" si="14"/>
        <v>-9715.44</v>
      </c>
      <c r="Y68" s="2"/>
      <c r="Z68" s="6">
        <f t="shared" si="15"/>
        <v>-0.77413864541832678</v>
      </c>
    </row>
    <row r="69" spans="1:26" s="70" customFormat="1" ht="15" hidden="1" customHeight="1" outlineLevel="2" x14ac:dyDescent="0.25">
      <c r="A69" s="25"/>
      <c r="B69" s="12" t="str">
        <f>CONCATENATE("          ","6235"," - ","COVID-19 EXPENSES")</f>
        <v xml:space="preserve">          6235 - COVID-19 EXPENSES</v>
      </c>
      <c r="C69" s="12"/>
      <c r="D69" s="8"/>
      <c r="E69" s="3"/>
      <c r="F69" s="7">
        <f t="shared" si="8"/>
        <v>0</v>
      </c>
      <c r="G69" s="3"/>
      <c r="H69" s="8">
        <v>175</v>
      </c>
      <c r="I69" s="3"/>
      <c r="J69" s="7">
        <f t="shared" si="9"/>
        <v>1.563812485478884E-3</v>
      </c>
      <c r="K69" s="3"/>
      <c r="L69" s="8">
        <f t="shared" si="10"/>
        <v>-175</v>
      </c>
      <c r="M69" s="3"/>
      <c r="N69" s="7">
        <f t="shared" si="11"/>
        <v>-1</v>
      </c>
      <c r="O69" s="12"/>
      <c r="P69" s="8">
        <v>35.72</v>
      </c>
      <c r="Q69" s="3"/>
      <c r="R69" s="7">
        <f t="shared" si="12"/>
        <v>0</v>
      </c>
      <c r="S69" s="3"/>
      <c r="T69" s="8">
        <v>2000</v>
      </c>
      <c r="U69" s="3"/>
      <c r="V69" s="7">
        <f t="shared" si="13"/>
        <v>2.1703013789009813E-3</v>
      </c>
      <c r="W69" s="3"/>
      <c r="X69" s="8">
        <f t="shared" si="14"/>
        <v>-1964.28</v>
      </c>
      <c r="Y69" s="3"/>
      <c r="Z69" s="7">
        <f t="shared" si="15"/>
        <v>-0.98214000000000001</v>
      </c>
    </row>
    <row r="70" spans="1:26" s="70" customFormat="1" ht="15" hidden="1" customHeight="1" outlineLevel="2" x14ac:dyDescent="0.25">
      <c r="A70" s="25"/>
      <c r="B70" s="12" t="str">
        <f>CONCATENATE("          ","6237"," - ","JANITORIAL SUPPLIES")</f>
        <v xml:space="preserve">          6237 - JANITORIAL SUPPLIES</v>
      </c>
      <c r="C70" s="12"/>
      <c r="D70" s="8"/>
      <c r="E70" s="3"/>
      <c r="F70" s="7">
        <f t="shared" si="8"/>
        <v>0</v>
      </c>
      <c r="G70" s="3"/>
      <c r="H70" s="8">
        <v>75</v>
      </c>
      <c r="I70" s="3"/>
      <c r="J70" s="7">
        <f t="shared" si="9"/>
        <v>6.7020535091952174E-4</v>
      </c>
      <c r="K70" s="3"/>
      <c r="L70" s="8">
        <f t="shared" si="10"/>
        <v>-75</v>
      </c>
      <c r="M70" s="3"/>
      <c r="N70" s="7">
        <f t="shared" si="11"/>
        <v>-1</v>
      </c>
      <c r="O70" s="12"/>
      <c r="P70" s="8">
        <v>796.76</v>
      </c>
      <c r="Q70" s="3"/>
      <c r="R70" s="7">
        <f t="shared" si="12"/>
        <v>0</v>
      </c>
      <c r="S70" s="3"/>
      <c r="T70" s="8">
        <v>1000</v>
      </c>
      <c r="U70" s="3"/>
      <c r="V70" s="7">
        <f t="shared" si="13"/>
        <v>1.0851506894504906E-3</v>
      </c>
      <c r="W70" s="3"/>
      <c r="X70" s="8">
        <f t="shared" si="14"/>
        <v>-203.24</v>
      </c>
      <c r="Y70" s="3"/>
      <c r="Z70" s="7">
        <f t="shared" si="15"/>
        <v>-0.20324</v>
      </c>
    </row>
    <row r="71" spans="1:26" s="70" customFormat="1" ht="15" hidden="1" customHeight="1" outlineLevel="2" x14ac:dyDescent="0.25">
      <c r="A71" s="25"/>
      <c r="B71" s="12" t="str">
        <f>CONCATENATE("          ","6239"," - ","KITCHEN SUPPLIES")</f>
        <v xml:space="preserve">          6239 - KITCHEN SUPPLIES</v>
      </c>
      <c r="C71" s="12"/>
      <c r="D71" s="8"/>
      <c r="E71" s="3"/>
      <c r="F71" s="7">
        <f t="shared" si="8"/>
        <v>0</v>
      </c>
      <c r="G71" s="3"/>
      <c r="H71" s="8"/>
      <c r="I71" s="3"/>
      <c r="J71" s="7">
        <f t="shared" si="9"/>
        <v>0</v>
      </c>
      <c r="K71" s="3"/>
      <c r="L71" s="8">
        <f t="shared" si="10"/>
        <v>0</v>
      </c>
      <c r="M71" s="3"/>
      <c r="N71" s="7">
        <f t="shared" si="11"/>
        <v>0</v>
      </c>
      <c r="O71" s="12"/>
      <c r="P71" s="8">
        <v>214.67</v>
      </c>
      <c r="Q71" s="3"/>
      <c r="R71" s="7">
        <f t="shared" si="12"/>
        <v>0</v>
      </c>
      <c r="S71" s="3"/>
      <c r="T71" s="8">
        <v>5000</v>
      </c>
      <c r="U71" s="3"/>
      <c r="V71" s="7">
        <f t="shared" si="13"/>
        <v>5.4257534472524531E-3</v>
      </c>
      <c r="W71" s="3"/>
      <c r="X71" s="8">
        <f t="shared" si="14"/>
        <v>-4785.33</v>
      </c>
      <c r="Y71" s="3"/>
      <c r="Z71" s="7">
        <f t="shared" si="15"/>
        <v>-0.95706599999999997</v>
      </c>
    </row>
    <row r="72" spans="1:26" s="70" customFormat="1" ht="15" hidden="1" customHeight="1" outlineLevel="2" x14ac:dyDescent="0.25">
      <c r="A72" s="25"/>
      <c r="B72" s="12" t="str">
        <f>CONCATENATE("          ","6241"," - ","OFFICE EXPENSE")</f>
        <v xml:space="preserve">          6241 - OFFICE EXPENSE</v>
      </c>
      <c r="C72" s="12"/>
      <c r="D72" s="8"/>
      <c r="E72" s="3"/>
      <c r="F72" s="7">
        <f t="shared" si="8"/>
        <v>0</v>
      </c>
      <c r="G72" s="3"/>
      <c r="H72" s="8"/>
      <c r="I72" s="3"/>
      <c r="J72" s="7">
        <f t="shared" si="9"/>
        <v>0</v>
      </c>
      <c r="K72" s="3"/>
      <c r="L72" s="8">
        <f t="shared" si="10"/>
        <v>0</v>
      </c>
      <c r="M72" s="3"/>
      <c r="N72" s="7">
        <f t="shared" si="11"/>
        <v>0</v>
      </c>
      <c r="O72" s="12"/>
      <c r="P72" s="8">
        <v>893.22</v>
      </c>
      <c r="Q72" s="3"/>
      <c r="R72" s="7">
        <f t="shared" si="12"/>
        <v>0</v>
      </c>
      <c r="S72" s="3"/>
      <c r="T72" s="8">
        <v>150</v>
      </c>
      <c r="U72" s="3"/>
      <c r="V72" s="7">
        <f t="shared" si="13"/>
        <v>1.6277260341757358E-4</v>
      </c>
      <c r="W72" s="3"/>
      <c r="X72" s="8">
        <f t="shared" si="14"/>
        <v>743.22</v>
      </c>
      <c r="Y72" s="3"/>
      <c r="Z72" s="7">
        <f t="shared" si="15"/>
        <v>4.9548000000000005</v>
      </c>
    </row>
    <row r="73" spans="1:26" s="70" customFormat="1" ht="15" hidden="1" customHeight="1" outlineLevel="2" x14ac:dyDescent="0.25">
      <c r="A73" s="25"/>
      <c r="B73" s="12" t="str">
        <f>CONCATENATE("          ","6243"," - ","PAPER SUPPLIES")</f>
        <v xml:space="preserve">          6243 - PAPER SUPPLIES</v>
      </c>
      <c r="C73" s="12"/>
      <c r="D73" s="8"/>
      <c r="E73" s="3"/>
      <c r="F73" s="7">
        <f t="shared" si="8"/>
        <v>0</v>
      </c>
      <c r="G73" s="3"/>
      <c r="H73" s="8">
        <v>200</v>
      </c>
      <c r="I73" s="3"/>
      <c r="J73" s="7">
        <f t="shared" si="9"/>
        <v>1.7872142691187246E-3</v>
      </c>
      <c r="K73" s="3"/>
      <c r="L73" s="8">
        <f t="shared" si="10"/>
        <v>-200</v>
      </c>
      <c r="M73" s="3"/>
      <c r="N73" s="7">
        <f t="shared" si="11"/>
        <v>-1</v>
      </c>
      <c r="O73" s="12"/>
      <c r="P73" s="8">
        <v>138.19</v>
      </c>
      <c r="Q73" s="3"/>
      <c r="R73" s="7">
        <f t="shared" si="12"/>
        <v>0</v>
      </c>
      <c r="S73" s="3"/>
      <c r="T73" s="8">
        <v>2250</v>
      </c>
      <c r="U73" s="3"/>
      <c r="V73" s="7">
        <f t="shared" si="13"/>
        <v>2.4415890512636037E-3</v>
      </c>
      <c r="W73" s="3"/>
      <c r="X73" s="8">
        <f t="shared" si="14"/>
        <v>-2111.81</v>
      </c>
      <c r="Y73" s="3"/>
      <c r="Z73" s="7">
        <f t="shared" si="15"/>
        <v>-0.93858222222222221</v>
      </c>
    </row>
    <row r="74" spans="1:26" s="70" customFormat="1" ht="15" hidden="1" customHeight="1" outlineLevel="2" x14ac:dyDescent="0.25">
      <c r="A74" s="25"/>
      <c r="B74" s="12" t="str">
        <f>CONCATENATE("          ","6244"," - ","SAFETY SUPPLY EXPENSE")</f>
        <v xml:space="preserve">          6244 - SAFETY SUPPLY EXPENSE</v>
      </c>
      <c r="C74" s="12"/>
      <c r="D74" s="8"/>
      <c r="E74" s="3"/>
      <c r="F74" s="7">
        <f t="shared" si="8"/>
        <v>0</v>
      </c>
      <c r="G74" s="3"/>
      <c r="H74" s="8"/>
      <c r="I74" s="3"/>
      <c r="J74" s="7">
        <f t="shared" si="9"/>
        <v>0</v>
      </c>
      <c r="K74" s="3"/>
      <c r="L74" s="8">
        <f t="shared" si="10"/>
        <v>0</v>
      </c>
      <c r="M74" s="3"/>
      <c r="N74" s="7">
        <f t="shared" si="11"/>
        <v>0</v>
      </c>
      <c r="O74" s="12"/>
      <c r="P74" s="8"/>
      <c r="Q74" s="3"/>
      <c r="R74" s="7">
        <f t="shared" si="12"/>
        <v>0</v>
      </c>
      <c r="S74" s="3"/>
      <c r="T74" s="8">
        <v>150</v>
      </c>
      <c r="U74" s="3"/>
      <c r="V74" s="7">
        <f t="shared" si="13"/>
        <v>1.6277260341757358E-4</v>
      </c>
      <c r="W74" s="3"/>
      <c r="X74" s="8">
        <f t="shared" si="14"/>
        <v>-150</v>
      </c>
      <c r="Y74" s="3"/>
      <c r="Z74" s="7">
        <f t="shared" si="15"/>
        <v>-1</v>
      </c>
    </row>
    <row r="75" spans="1:26" s="70" customFormat="1" ht="15" hidden="1" customHeight="1" outlineLevel="2" x14ac:dyDescent="0.25">
      <c r="A75" s="25"/>
      <c r="B75" s="12" t="str">
        <f>CONCATENATE("          ","6245"," - ","PRINTING")</f>
        <v xml:space="preserve">          6245 - PRINTING</v>
      </c>
      <c r="C75" s="12"/>
      <c r="D75" s="8"/>
      <c r="E75" s="3"/>
      <c r="F75" s="7">
        <f t="shared" si="8"/>
        <v>0</v>
      </c>
      <c r="G75" s="3"/>
      <c r="H75" s="8">
        <v>50</v>
      </c>
      <c r="I75" s="3"/>
      <c r="J75" s="7">
        <f t="shared" si="9"/>
        <v>4.4680356727968114E-4</v>
      </c>
      <c r="K75" s="3"/>
      <c r="L75" s="8">
        <f t="shared" si="10"/>
        <v>-50</v>
      </c>
      <c r="M75" s="3"/>
      <c r="N75" s="7">
        <f t="shared" si="11"/>
        <v>-1</v>
      </c>
      <c r="O75" s="12"/>
      <c r="P75" s="8">
        <v>338</v>
      </c>
      <c r="Q75" s="3"/>
      <c r="R75" s="7">
        <f t="shared" si="12"/>
        <v>0</v>
      </c>
      <c r="S75" s="3"/>
      <c r="T75" s="8">
        <v>950</v>
      </c>
      <c r="U75" s="3"/>
      <c r="V75" s="7">
        <f t="shared" si="13"/>
        <v>1.030893154977966E-3</v>
      </c>
      <c r="W75" s="3"/>
      <c r="X75" s="8">
        <f t="shared" si="14"/>
        <v>-612</v>
      </c>
      <c r="Y75" s="3"/>
      <c r="Z75" s="7">
        <f t="shared" si="15"/>
        <v>-0.64421052631578946</v>
      </c>
    </row>
    <row r="76" spans="1:26" s="70" customFormat="1" ht="15" hidden="1" customHeight="1" outlineLevel="2" x14ac:dyDescent="0.25">
      <c r="A76" s="25"/>
      <c r="B76" s="12" t="str">
        <f>CONCATENATE("          ","6247"," - ","STORE SUPPLIES")</f>
        <v xml:space="preserve">          6247 - STORE SUPPLIES</v>
      </c>
      <c r="C76" s="12"/>
      <c r="D76" s="8">
        <v>418</v>
      </c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418</v>
      </c>
      <c r="M76" s="3"/>
      <c r="N76" s="7">
        <f t="shared" si="11"/>
        <v>0</v>
      </c>
      <c r="O76" s="12"/>
      <c r="P76" s="8">
        <v>418</v>
      </c>
      <c r="Q76" s="3"/>
      <c r="R76" s="7">
        <f t="shared" si="12"/>
        <v>0</v>
      </c>
      <c r="S76" s="3"/>
      <c r="T76" s="8"/>
      <c r="U76" s="3"/>
      <c r="V76" s="7">
        <f t="shared" si="13"/>
        <v>0</v>
      </c>
      <c r="W76" s="3"/>
      <c r="X76" s="8">
        <f t="shared" si="14"/>
        <v>418</v>
      </c>
      <c r="Y76" s="3"/>
      <c r="Z76" s="7">
        <f t="shared" si="15"/>
        <v>0</v>
      </c>
    </row>
    <row r="77" spans="1:26" s="70" customFormat="1" ht="15" hidden="1" customHeight="1" outlineLevel="2" x14ac:dyDescent="0.25">
      <c r="A77" s="25"/>
      <c r="B77" s="12" t="str">
        <f>CONCATENATE("          ","6248"," - ","UNIFORMS")</f>
        <v xml:space="preserve">          6248 - UNIFORMS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/>
      <c r="Q77" s="3"/>
      <c r="R77" s="7">
        <f t="shared" si="12"/>
        <v>0</v>
      </c>
      <c r="S77" s="3"/>
      <c r="T77" s="8">
        <v>1050</v>
      </c>
      <c r="U77" s="3"/>
      <c r="V77" s="7">
        <f t="shared" si="13"/>
        <v>1.1394082239230151E-3</v>
      </c>
      <c r="W77" s="3"/>
      <c r="X77" s="8">
        <f t="shared" si="14"/>
        <v>-1050</v>
      </c>
      <c r="Y77" s="3"/>
      <c r="Z77" s="7">
        <f t="shared" si="15"/>
        <v>-1</v>
      </c>
    </row>
    <row r="78" spans="1:26" s="69" customFormat="1" ht="15" customHeight="1" outlineLevel="1" collapsed="1" x14ac:dyDescent="0.25">
      <c r="A78" s="26"/>
      <c r="B78" s="14" t="str">
        <f>CONCATENATE("     ","Telephone/Data Lines                              ")</f>
        <v xml:space="preserve">     Telephone/Data Lines                              </v>
      </c>
      <c r="C78" s="14"/>
      <c r="D78" s="2">
        <f>SUM(OSRRefD22_12x_0)</f>
        <v>181.5</v>
      </c>
      <c r="E78" s="2"/>
      <c r="F78" s="6">
        <f t="shared" si="8"/>
        <v>0</v>
      </c>
      <c r="G78" s="2"/>
      <c r="H78" s="2">
        <f>SUM(OSRRefH22_12x_0)</f>
        <v>225</v>
      </c>
      <c r="I78" s="2"/>
      <c r="J78" s="6">
        <f t="shared" si="9"/>
        <v>2.0106160527585651E-3</v>
      </c>
      <c r="K78" s="2"/>
      <c r="L78" s="2">
        <f t="shared" si="10"/>
        <v>-43.5</v>
      </c>
      <c r="M78" s="2"/>
      <c r="N78" s="6">
        <f t="shared" si="11"/>
        <v>-0.19333333333333333</v>
      </c>
      <c r="O78" s="14"/>
      <c r="P78" s="2">
        <f>SUM(OSRRefP22_12x_0)</f>
        <v>1057.5</v>
      </c>
      <c r="Q78" s="2"/>
      <c r="R78" s="6">
        <f t="shared" si="12"/>
        <v>0</v>
      </c>
      <c r="S78" s="2"/>
      <c r="T78" s="2">
        <f>SUM(OSRRefT22_12x_0)</f>
        <v>1425</v>
      </c>
      <c r="U78" s="2"/>
      <c r="V78" s="6">
        <f t="shared" si="13"/>
        <v>1.5463397324669489E-3</v>
      </c>
      <c r="W78" s="2"/>
      <c r="X78" s="2">
        <f t="shared" si="14"/>
        <v>-367.5</v>
      </c>
      <c r="Y78" s="2"/>
      <c r="Z78" s="6">
        <f t="shared" si="15"/>
        <v>-0.25789473684210529</v>
      </c>
    </row>
    <row r="79" spans="1:26" s="70" customFormat="1" ht="15" hidden="1" customHeight="1" outlineLevel="2" x14ac:dyDescent="0.25">
      <c r="A79" s="25"/>
      <c r="B79" s="12" t="str">
        <f>CONCATENATE("          ","6303"," - ","DATA PHONE LINES")</f>
        <v xml:space="preserve">          6303 - DATA PHONE LINES</v>
      </c>
      <c r="C79" s="12"/>
      <c r="D79" s="8"/>
      <c r="E79" s="3"/>
      <c r="F79" s="7">
        <f t="shared" si="8"/>
        <v>0</v>
      </c>
      <c r="G79" s="3"/>
      <c r="H79" s="8">
        <v>75</v>
      </c>
      <c r="I79" s="3"/>
      <c r="J79" s="7">
        <f t="shared" si="9"/>
        <v>6.7020535091952174E-4</v>
      </c>
      <c r="K79" s="3"/>
      <c r="L79" s="8">
        <f t="shared" si="10"/>
        <v>-75</v>
      </c>
      <c r="M79" s="3"/>
      <c r="N79" s="7">
        <f t="shared" si="11"/>
        <v>-1</v>
      </c>
      <c r="O79" s="12"/>
      <c r="P79" s="8"/>
      <c r="Q79" s="3"/>
      <c r="R79" s="7">
        <f t="shared" si="12"/>
        <v>0</v>
      </c>
      <c r="S79" s="3"/>
      <c r="T79" s="8">
        <v>825</v>
      </c>
      <c r="U79" s="3"/>
      <c r="V79" s="7">
        <f t="shared" si="13"/>
        <v>8.9524931879665474E-4</v>
      </c>
      <c r="W79" s="3"/>
      <c r="X79" s="8">
        <f t="shared" si="14"/>
        <v>-825</v>
      </c>
      <c r="Y79" s="3"/>
      <c r="Z79" s="7">
        <f t="shared" si="15"/>
        <v>-1</v>
      </c>
    </row>
    <row r="80" spans="1:26" s="70" customFormat="1" ht="15" hidden="1" customHeight="1" outlineLevel="2" x14ac:dyDescent="0.25">
      <c r="A80" s="25"/>
      <c r="B80" s="12" t="str">
        <f>CONCATENATE("          ","6309"," - ","TELEPHONE")</f>
        <v xml:space="preserve">          6309 - TELEPHONE</v>
      </c>
      <c r="C80" s="12"/>
      <c r="D80" s="8">
        <v>181.5</v>
      </c>
      <c r="E80" s="3"/>
      <c r="F80" s="7">
        <f t="shared" si="8"/>
        <v>0</v>
      </c>
      <c r="G80" s="3"/>
      <c r="H80" s="8">
        <v>150</v>
      </c>
      <c r="I80" s="3"/>
      <c r="J80" s="7">
        <f t="shared" si="9"/>
        <v>1.3404107018390435E-3</v>
      </c>
      <c r="K80" s="3"/>
      <c r="L80" s="8">
        <f t="shared" si="10"/>
        <v>31.5</v>
      </c>
      <c r="M80" s="3"/>
      <c r="N80" s="7">
        <f t="shared" si="11"/>
        <v>0.21</v>
      </c>
      <c r="O80" s="12"/>
      <c r="P80" s="8">
        <v>1057.5</v>
      </c>
      <c r="Q80" s="3"/>
      <c r="R80" s="7">
        <f t="shared" si="12"/>
        <v>0</v>
      </c>
      <c r="S80" s="3"/>
      <c r="T80" s="8">
        <v>600</v>
      </c>
      <c r="U80" s="3"/>
      <c r="V80" s="7">
        <f t="shared" si="13"/>
        <v>6.5109041367029431E-4</v>
      </c>
      <c r="W80" s="3"/>
      <c r="X80" s="8">
        <f t="shared" si="14"/>
        <v>457.5</v>
      </c>
      <c r="Y80" s="3"/>
      <c r="Z80" s="7">
        <f t="shared" si="15"/>
        <v>0.76249999999999996</v>
      </c>
    </row>
    <row r="81" spans="1:26" s="69" customFormat="1" ht="15" customHeight="1" outlineLevel="1" collapsed="1" x14ac:dyDescent="0.25">
      <c r="A81" s="26"/>
      <c r="B81" s="14" t="str">
        <f>CONCATENATE("     ","Training                                          ")</f>
        <v xml:space="preserve">     Training                                          </v>
      </c>
      <c r="C81" s="14"/>
      <c r="D81" s="2">
        <f>SUM(OSRRefD22_13x_0)</f>
        <v>0</v>
      </c>
      <c r="E81" s="2"/>
      <c r="F81" s="6">
        <f t="shared" si="8"/>
        <v>0</v>
      </c>
      <c r="G81" s="2"/>
      <c r="H81" s="2">
        <f>SUM(OSRRefH22_13x_0)</f>
        <v>0</v>
      </c>
      <c r="I81" s="2"/>
      <c r="J81" s="6">
        <f t="shared" si="9"/>
        <v>0</v>
      </c>
      <c r="K81" s="2"/>
      <c r="L81" s="2">
        <f t="shared" si="10"/>
        <v>0</v>
      </c>
      <c r="M81" s="2"/>
      <c r="N81" s="6">
        <f t="shared" si="11"/>
        <v>0</v>
      </c>
      <c r="O81" s="14"/>
      <c r="P81" s="2">
        <f>SUM(OSRRefP22_13x_0)</f>
        <v>120</v>
      </c>
      <c r="Q81" s="2"/>
      <c r="R81" s="6">
        <f t="shared" si="12"/>
        <v>0</v>
      </c>
      <c r="S81" s="2"/>
      <c r="T81" s="2">
        <f>SUM(OSRRefT22_13x_0)</f>
        <v>400</v>
      </c>
      <c r="U81" s="2"/>
      <c r="V81" s="6">
        <f t="shared" si="13"/>
        <v>4.3406027578019621E-4</v>
      </c>
      <c r="W81" s="2"/>
      <c r="X81" s="2">
        <f t="shared" si="14"/>
        <v>-280</v>
      </c>
      <c r="Y81" s="2"/>
      <c r="Z81" s="6">
        <f t="shared" si="15"/>
        <v>-0.7</v>
      </c>
    </row>
    <row r="82" spans="1:26" s="70" customFormat="1" ht="15" hidden="1" customHeight="1" outlineLevel="2" x14ac:dyDescent="0.25">
      <c r="A82" s="25"/>
      <c r="B82" s="12" t="str">
        <f>CONCATENATE("          ","6376"," - ","TRAINING")</f>
        <v xml:space="preserve">          6376 - TRAINING</v>
      </c>
      <c r="C82" s="12"/>
      <c r="D82" s="8"/>
      <c r="E82" s="3"/>
      <c r="F82" s="7">
        <f t="shared" si="8"/>
        <v>0</v>
      </c>
      <c r="G82" s="3"/>
      <c r="H82" s="8"/>
      <c r="I82" s="3"/>
      <c r="J82" s="7">
        <f t="shared" si="9"/>
        <v>0</v>
      </c>
      <c r="K82" s="3"/>
      <c r="L82" s="8">
        <f t="shared" si="10"/>
        <v>0</v>
      </c>
      <c r="M82" s="3"/>
      <c r="N82" s="7">
        <f t="shared" si="11"/>
        <v>0</v>
      </c>
      <c r="O82" s="12"/>
      <c r="P82" s="8">
        <v>120</v>
      </c>
      <c r="Q82" s="3"/>
      <c r="R82" s="7">
        <f t="shared" si="12"/>
        <v>0</v>
      </c>
      <c r="S82" s="3"/>
      <c r="T82" s="8">
        <v>400</v>
      </c>
      <c r="U82" s="3"/>
      <c r="V82" s="7">
        <f t="shared" si="13"/>
        <v>4.3406027578019621E-4</v>
      </c>
      <c r="W82" s="3"/>
      <c r="X82" s="8">
        <f t="shared" si="14"/>
        <v>-280</v>
      </c>
      <c r="Y82" s="3"/>
      <c r="Z82" s="7">
        <f t="shared" si="15"/>
        <v>-0.7</v>
      </c>
    </row>
    <row r="83" spans="1:26" s="69" customFormat="1" ht="15" customHeight="1" outlineLevel="1" collapsed="1" x14ac:dyDescent="0.25">
      <c r="A83" s="26"/>
      <c r="B83" s="14" t="str">
        <f>CONCATENATE("     ","Travel                                            ")</f>
        <v xml:space="preserve">     Travel                                            </v>
      </c>
      <c r="C83" s="14"/>
      <c r="D83" s="2">
        <f>SUM(OSRRefD22_14x_0)</f>
        <v>0</v>
      </c>
      <c r="E83" s="2"/>
      <c r="F83" s="6">
        <f t="shared" si="8"/>
        <v>0</v>
      </c>
      <c r="G83" s="2"/>
      <c r="H83" s="2">
        <f>SUM(OSRRefH22_14x_0)</f>
        <v>0</v>
      </c>
      <c r="I83" s="2"/>
      <c r="J83" s="6">
        <f t="shared" si="9"/>
        <v>0</v>
      </c>
      <c r="K83" s="2"/>
      <c r="L83" s="2">
        <f t="shared" si="10"/>
        <v>0</v>
      </c>
      <c r="M83" s="2"/>
      <c r="N83" s="6">
        <f t="shared" si="11"/>
        <v>0</v>
      </c>
      <c r="O83" s="14"/>
      <c r="P83" s="2">
        <f>SUM(OSRRefP22_14x_0)</f>
        <v>0</v>
      </c>
      <c r="Q83" s="2"/>
      <c r="R83" s="6">
        <f t="shared" si="12"/>
        <v>0</v>
      </c>
      <c r="S83" s="2"/>
      <c r="T83" s="2">
        <f>SUM(OSRRefT22_14x_0)</f>
        <v>600</v>
      </c>
      <c r="U83" s="2"/>
      <c r="V83" s="6">
        <f t="shared" si="13"/>
        <v>6.5109041367029431E-4</v>
      </c>
      <c r="W83" s="2"/>
      <c r="X83" s="2">
        <f t="shared" si="14"/>
        <v>-600</v>
      </c>
      <c r="Y83" s="2"/>
      <c r="Z83" s="6">
        <f t="shared" si="15"/>
        <v>-1</v>
      </c>
    </row>
    <row r="84" spans="1:26" s="70" customFormat="1" ht="15" hidden="1" customHeight="1" outlineLevel="2" x14ac:dyDescent="0.25">
      <c r="A84" s="25"/>
      <c r="B84" s="12" t="str">
        <f>CONCATENATE("          ","6292"," - ","TRAVEL/CONFERENCE")</f>
        <v xml:space="preserve">          6292 - TRAVEL/CONFERENCE</v>
      </c>
      <c r="C84" s="12"/>
      <c r="D84" s="8"/>
      <c r="E84" s="3"/>
      <c r="F84" s="7">
        <f t="shared" si="8"/>
        <v>0</v>
      </c>
      <c r="G84" s="3"/>
      <c r="H84" s="8"/>
      <c r="I84" s="3"/>
      <c r="J84" s="7">
        <f t="shared" si="9"/>
        <v>0</v>
      </c>
      <c r="K84" s="3"/>
      <c r="L84" s="8">
        <f t="shared" si="10"/>
        <v>0</v>
      </c>
      <c r="M84" s="3"/>
      <c r="N84" s="7">
        <f t="shared" si="11"/>
        <v>0</v>
      </c>
      <c r="O84" s="12"/>
      <c r="P84" s="8"/>
      <c r="Q84" s="3"/>
      <c r="R84" s="7">
        <f t="shared" si="12"/>
        <v>0</v>
      </c>
      <c r="S84" s="3"/>
      <c r="T84" s="8">
        <v>600</v>
      </c>
      <c r="U84" s="3"/>
      <c r="V84" s="7">
        <f t="shared" si="13"/>
        <v>6.5109041367029431E-4</v>
      </c>
      <c r="W84" s="3"/>
      <c r="X84" s="8">
        <f t="shared" si="14"/>
        <v>-600</v>
      </c>
      <c r="Y84" s="3"/>
      <c r="Z84" s="7">
        <f t="shared" si="15"/>
        <v>-1</v>
      </c>
    </row>
    <row r="85" spans="1:26" s="69" customFormat="1" ht="15" customHeight="1" outlineLevel="1" collapsed="1" x14ac:dyDescent="0.25">
      <c r="A85" s="26"/>
      <c r="B85" s="14" t="str">
        <f>CONCATENATE("     ","Utilities                                         ")</f>
        <v xml:space="preserve">     Utilities                                         </v>
      </c>
      <c r="C85" s="14"/>
      <c r="D85" s="2">
        <f>SUM(OSRRefD22_15x_0)</f>
        <v>0</v>
      </c>
      <c r="E85" s="2"/>
      <c r="F85" s="6">
        <f t="shared" si="8"/>
        <v>0</v>
      </c>
      <c r="G85" s="2"/>
      <c r="H85" s="2">
        <f>SUM(OSRRefH22_15x_0)</f>
        <v>500</v>
      </c>
      <c r="I85" s="2"/>
      <c r="J85" s="6">
        <f t="shared" si="9"/>
        <v>4.4680356727968117E-3</v>
      </c>
      <c r="K85" s="2"/>
      <c r="L85" s="2">
        <f t="shared" si="10"/>
        <v>-500</v>
      </c>
      <c r="M85" s="2"/>
      <c r="N85" s="6">
        <f t="shared" si="11"/>
        <v>-1</v>
      </c>
      <c r="O85" s="14"/>
      <c r="P85" s="2">
        <f>SUM(OSRRefP22_15x_0)</f>
        <v>0</v>
      </c>
      <c r="Q85" s="2"/>
      <c r="R85" s="6">
        <f t="shared" si="12"/>
        <v>0</v>
      </c>
      <c r="S85" s="2"/>
      <c r="T85" s="2">
        <f>SUM(OSRRefT22_15x_0)</f>
        <v>5500</v>
      </c>
      <c r="U85" s="2"/>
      <c r="V85" s="6">
        <f t="shared" si="13"/>
        <v>5.968328791977698E-3</v>
      </c>
      <c r="W85" s="2"/>
      <c r="X85" s="2">
        <f t="shared" si="14"/>
        <v>-5500</v>
      </c>
      <c r="Y85" s="2"/>
      <c r="Z85" s="6">
        <f t="shared" si="15"/>
        <v>-1</v>
      </c>
    </row>
    <row r="86" spans="1:26" s="70" customFormat="1" ht="15" hidden="1" customHeight="1" outlineLevel="2" x14ac:dyDescent="0.25">
      <c r="A86" s="25"/>
      <c r="B86" s="12" t="str">
        <f>CONCATENATE("          ","6274"," - ","UTILITIES")</f>
        <v xml:space="preserve">          6274 - UTILITIES</v>
      </c>
      <c r="C86" s="12"/>
      <c r="D86" s="8"/>
      <c r="E86" s="3"/>
      <c r="F86" s="7">
        <f t="shared" si="8"/>
        <v>0</v>
      </c>
      <c r="G86" s="3"/>
      <c r="H86" s="8">
        <v>500</v>
      </c>
      <c r="I86" s="3"/>
      <c r="J86" s="7">
        <f t="shared" si="9"/>
        <v>4.4680356727968117E-3</v>
      </c>
      <c r="K86" s="3"/>
      <c r="L86" s="8">
        <f t="shared" si="10"/>
        <v>-500</v>
      </c>
      <c r="M86" s="3"/>
      <c r="N86" s="7">
        <f t="shared" si="11"/>
        <v>-1</v>
      </c>
      <c r="O86" s="12"/>
      <c r="P86" s="8"/>
      <c r="Q86" s="3"/>
      <c r="R86" s="7">
        <f t="shared" si="12"/>
        <v>0</v>
      </c>
      <c r="S86" s="3"/>
      <c r="T86" s="8">
        <v>5500</v>
      </c>
      <c r="U86" s="3"/>
      <c r="V86" s="7">
        <f t="shared" si="13"/>
        <v>5.968328791977698E-3</v>
      </c>
      <c r="W86" s="3"/>
      <c r="X86" s="8">
        <f t="shared" si="14"/>
        <v>-5500</v>
      </c>
      <c r="Y86" s="3"/>
      <c r="Z86" s="7">
        <f t="shared" si="15"/>
        <v>-1</v>
      </c>
    </row>
    <row r="87" spans="1:26" s="65" customFormat="1" ht="15" customHeight="1" x14ac:dyDescent="0.25">
      <c r="A87" s="35"/>
      <c r="B87" s="35"/>
      <c r="C87" s="35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5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3" customFormat="1" ht="15" customHeight="1" collapsed="1" x14ac:dyDescent="0.25">
      <c r="A88" s="11"/>
      <c r="B88" s="27" t="s">
        <v>291</v>
      </c>
      <c r="C88" s="11"/>
      <c r="D88" s="5">
        <f>SUM(OSRRefD25x_0)</f>
        <v>0</v>
      </c>
      <c r="E88" s="5"/>
      <c r="F88" s="13">
        <f>IF(D$12=0,0,D88/D$12)</f>
        <v>0</v>
      </c>
      <c r="G88" s="5"/>
      <c r="H88" s="5">
        <f>SUM(OSRRefH25x_0)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SUM(OSRRefP25x_0)</f>
        <v>694.3</v>
      </c>
      <c r="Q88" s="5"/>
      <c r="R88" s="13">
        <f>IF(P$12=0,0,P88/P$12)</f>
        <v>0</v>
      </c>
      <c r="S88" s="5"/>
      <c r="T88" s="5">
        <f>SUM(OSRRefT25x_0)</f>
        <v>0</v>
      </c>
      <c r="U88" s="5"/>
      <c r="V88" s="13">
        <f>IF(T$12=0,0,T88/T$12)</f>
        <v>0</v>
      </c>
      <c r="W88" s="5"/>
      <c r="X88" s="5">
        <f>+P88-T88</f>
        <v>694.3</v>
      </c>
      <c r="Y88" s="5"/>
      <c r="Z88" s="13">
        <f>IF(T88=0,0,X88/T88)</f>
        <v>0</v>
      </c>
    </row>
    <row r="89" spans="1:26" s="70" customFormat="1" ht="15" hidden="1" customHeight="1" outlineLevel="1" x14ac:dyDescent="0.25">
      <c r="A89" s="42"/>
      <c r="B89" s="12" t="str">
        <f>CONCATENATE("          ","9150"," - ","MISC. INCOME")</f>
        <v xml:space="preserve">          9150 - MISC. INCOME</v>
      </c>
      <c r="C89" s="12"/>
      <c r="D89" s="3">
        <f>0</f>
        <v>0</v>
      </c>
      <c r="E89" s="3"/>
      <c r="F89" s="20">
        <f>IF(D$12=0,0,D89/D$12)</f>
        <v>0</v>
      </c>
      <c r="G89" s="3"/>
      <c r="H89" s="3"/>
      <c r="I89" s="3"/>
      <c r="J89" s="20">
        <f>IF(H$12=0,0,H89/H$12)</f>
        <v>0</v>
      </c>
      <c r="K89" s="3"/>
      <c r="L89" s="3">
        <f>+D89-H89</f>
        <v>0</v>
      </c>
      <c r="M89" s="3"/>
      <c r="N89" s="20">
        <f>IF(H89=0,0,L89/H89)</f>
        <v>0</v>
      </c>
      <c r="O89" s="12"/>
      <c r="P89" s="3">
        <f>--694.3</f>
        <v>694.3</v>
      </c>
      <c r="Q89" s="3"/>
      <c r="R89" s="20">
        <f>IF(P$12=0,0,P89/P$12)</f>
        <v>0</v>
      </c>
      <c r="S89" s="3"/>
      <c r="T89" s="3"/>
      <c r="U89" s="3"/>
      <c r="V89" s="20">
        <f>IF(T$12=0,0,T89/T$12)</f>
        <v>0</v>
      </c>
      <c r="W89" s="3"/>
      <c r="X89" s="3">
        <f>+P89-T89</f>
        <v>694.3</v>
      </c>
      <c r="Y89" s="3"/>
      <c r="Z89" s="20">
        <f>IF(T89=0,0,X89/T89)</f>
        <v>0</v>
      </c>
    </row>
    <row r="90" spans="1:26" ht="15" customHeight="1" x14ac:dyDescent="0.25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25">
      <c r="A91" s="11"/>
      <c r="B91" s="28" t="s">
        <v>292</v>
      </c>
      <c r="C91" s="28"/>
      <c r="D91" s="22">
        <f>+D20-D22+D88</f>
        <v>-17951.88</v>
      </c>
      <c r="E91" s="15"/>
      <c r="F91" s="21">
        <f>IF(D$12=0,0,D91/D$12)</f>
        <v>0</v>
      </c>
      <c r="G91" s="15"/>
      <c r="H91" s="22">
        <f>+H20-H22+H88</f>
        <v>19745.41425381539</v>
      </c>
      <c r="I91" s="15"/>
      <c r="J91" s="21">
        <f>IF(H$12=0,0,H91/H$12)</f>
        <v>0.1764464305203956</v>
      </c>
      <c r="K91" s="16"/>
      <c r="L91" s="22">
        <f>+D91-H91</f>
        <v>-37697.294253815387</v>
      </c>
      <c r="M91" s="16"/>
      <c r="N91" s="21">
        <f>IF(H91=0,0,L91/H91)</f>
        <v>-1.9091670485733754</v>
      </c>
      <c r="O91" s="27"/>
      <c r="P91" s="22">
        <f>+P20-P22+P88</f>
        <v>-191658.26</v>
      </c>
      <c r="Q91" s="15"/>
      <c r="R91" s="21">
        <f>IF(P$12=0,0,P91/P$12)</f>
        <v>0</v>
      </c>
      <c r="S91" s="15"/>
      <c r="T91" s="22">
        <f>+T20-T22+T88</f>
        <v>79501.900394461583</v>
      </c>
      <c r="U91" s="15"/>
      <c r="V91" s="21">
        <f>IF(T$12=0,0,T91/T$12)</f>
        <v>8.6271542025674219E-2</v>
      </c>
      <c r="W91" s="16"/>
      <c r="X91" s="22">
        <f>+P91-T91</f>
        <v>-271160.16039446159</v>
      </c>
      <c r="Y91" s="16"/>
      <c r="Z91" s="21">
        <f>IF(T91=0,0,X91/T91)</f>
        <v>-3.4107380961845748</v>
      </c>
    </row>
    <row r="92" spans="1:26" ht="15" customHeight="1" x14ac:dyDescent="0.25">
      <c r="A92" s="10"/>
      <c r="B92" s="11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25">
      <c r="A93" s="49"/>
      <c r="B93" s="11" t="s">
        <v>293</v>
      </c>
      <c r="C93" s="11"/>
      <c r="D93" s="5"/>
      <c r="E93" s="5"/>
      <c r="F93" s="13">
        <f>IF(D$12=0,0,D93/D$12)</f>
        <v>0</v>
      </c>
      <c r="G93" s="5"/>
      <c r="H93" s="5">
        <v>14639</v>
      </c>
      <c r="I93" s="5"/>
      <c r="J93" s="13">
        <f>IF(H$12=0,0,H93/H$12)</f>
        <v>0.13081514842814504</v>
      </c>
      <c r="K93" s="5"/>
      <c r="L93" s="5">
        <f>+D93-H93</f>
        <v>-14639</v>
      </c>
      <c r="M93" s="5"/>
      <c r="N93" s="13">
        <f>IF(H93=0,0,L93/H93)</f>
        <v>-1</v>
      </c>
      <c r="O93" s="11"/>
      <c r="P93" s="5"/>
      <c r="Q93" s="5"/>
      <c r="R93" s="13">
        <f>IF(P$12=0,0,P93/P$12)</f>
        <v>0</v>
      </c>
      <c r="S93" s="5"/>
      <c r="T93" s="5">
        <v>114233</v>
      </c>
      <c r="U93" s="5"/>
      <c r="V93" s="13">
        <f>IF(T$12=0,0,T93/T$12)</f>
        <v>0.12396001870799789</v>
      </c>
      <c r="W93" s="5"/>
      <c r="X93" s="5">
        <f>+P93-T93</f>
        <v>-114233</v>
      </c>
      <c r="Y93" s="5"/>
      <c r="Z93" s="13">
        <f>IF(T93=0,0,X93/T93)</f>
        <v>-1</v>
      </c>
    </row>
    <row r="94" spans="1:26" ht="15" customHeight="1" x14ac:dyDescent="0.25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25">
      <c r="A95" s="11"/>
      <c r="B95" s="28" t="s">
        <v>294</v>
      </c>
      <c r="C95" s="28"/>
      <c r="D95" s="34">
        <f>+D91-D93</f>
        <v>-17951.88</v>
      </c>
      <c r="E95" s="15"/>
      <c r="F95" s="32">
        <f>IF(D$12=0,0,D95/D$12)</f>
        <v>0</v>
      </c>
      <c r="G95" s="15"/>
      <c r="H95" s="34">
        <f>+H91-H93</f>
        <v>5106.4142538153901</v>
      </c>
      <c r="I95" s="15"/>
      <c r="J95" s="32">
        <f>IF(H$12=0,0,H95/H$12)</f>
        <v>4.563128209225055E-2</v>
      </c>
      <c r="K95" s="16"/>
      <c r="L95" s="34">
        <f>D95-H95</f>
        <v>-23058.294253815391</v>
      </c>
      <c r="M95" s="16"/>
      <c r="N95" s="32">
        <f>IF(H95=0,0,L95/H95)</f>
        <v>-4.5155549682611014</v>
      </c>
      <c r="O95" s="27"/>
      <c r="P95" s="34">
        <f>+P91-P93</f>
        <v>-191658.26</v>
      </c>
      <c r="Q95" s="15"/>
      <c r="R95" s="32">
        <f>IF(P$12=0,0,P95/P$12)</f>
        <v>0</v>
      </c>
      <c r="S95" s="15"/>
      <c r="T95" s="34">
        <f>+T91-T93</f>
        <v>-34731.099605538417</v>
      </c>
      <c r="U95" s="15"/>
      <c r="V95" s="32">
        <f>IF(T$12=0,0,T95/T$12)</f>
        <v>-3.7688476682323675E-2</v>
      </c>
      <c r="W95" s="16"/>
      <c r="X95" s="34">
        <f>P95-T95</f>
        <v>-156927.16039446159</v>
      </c>
      <c r="Y95" s="16"/>
      <c r="Z95" s="32">
        <f>IF(T95=0,0,X95/T95)</f>
        <v>4.5183470197251427</v>
      </c>
    </row>
    <row r="96" spans="1:26" ht="15" customHeight="1" x14ac:dyDescent="0.25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ht="15" customHeight="1" x14ac:dyDescent="0.25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25">
      <c r="A98" s="11"/>
      <c r="B98" s="28" t="s">
        <v>297</v>
      </c>
      <c r="C98" s="28"/>
      <c r="D98" s="30">
        <f>SUM(D95:D97)</f>
        <v>-17951.88</v>
      </c>
      <c r="E98" s="15"/>
      <c r="F98" s="33">
        <f>IF(D$12=0,0,D98/D$12)</f>
        <v>0</v>
      </c>
      <c r="G98" s="15"/>
      <c r="H98" s="30">
        <f>SUM(H95:H97)</f>
        <v>5106.4142538153901</v>
      </c>
      <c r="I98" s="15"/>
      <c r="J98" s="33">
        <f>IF(H$12=0,0,H98/H$12)</f>
        <v>4.563128209225055E-2</v>
      </c>
      <c r="K98" s="16"/>
      <c r="L98" s="30">
        <f>+D98-H98</f>
        <v>-23058.294253815391</v>
      </c>
      <c r="M98" s="16"/>
      <c r="N98" s="33">
        <f>IF(H98=0,0,L98/H98)</f>
        <v>-4.5155549682611014</v>
      </c>
      <c r="O98" s="27"/>
      <c r="P98" s="30">
        <f>SUM(P95:P97)</f>
        <v>-191658.26</v>
      </c>
      <c r="Q98" s="15"/>
      <c r="R98" s="33">
        <f>IF(P$12=0,0,P98/P$12)</f>
        <v>0</v>
      </c>
      <c r="S98" s="15"/>
      <c r="T98" s="30">
        <f>SUM(T95:T97)</f>
        <v>-34731.099605538417</v>
      </c>
      <c r="U98" s="15"/>
      <c r="V98" s="33">
        <f>IF(T$12=0,0,T98/T$12)</f>
        <v>-3.7688476682323675E-2</v>
      </c>
      <c r="W98" s="16"/>
      <c r="X98" s="30">
        <f>+P98-T98</f>
        <v>-156927.16039446159</v>
      </c>
      <c r="Y98" s="16"/>
      <c r="Z98" s="33">
        <f>IF(T98=0,0,X98/T98)</f>
        <v>4.5183470197251427</v>
      </c>
    </row>
    <row r="99" spans="1:26" ht="15" customHeight="1" x14ac:dyDescent="0.25">
      <c r="A99" s="10"/>
      <c r="C99" s="10"/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  <row r="100" spans="1:26" ht="15" customHeight="1" x14ac:dyDescent="0.25">
      <c r="A100" s="10"/>
      <c r="B100" s="54">
        <v>44727.874527581022</v>
      </c>
      <c r="D100" s="18"/>
      <c r="E100" s="18"/>
      <c r="G100" s="18"/>
      <c r="H100" s="18"/>
      <c r="I100" s="18"/>
      <c r="J100" s="40"/>
      <c r="K100" s="18"/>
      <c r="L100" s="18"/>
      <c r="M100" s="18"/>
      <c r="P100" s="18"/>
      <c r="Q100" s="18"/>
      <c r="R100" s="40"/>
      <c r="S100" s="18"/>
      <c r="T100" s="18"/>
      <c r="U100" s="18"/>
      <c r="V100" s="40"/>
      <c r="W100" s="18"/>
      <c r="X100" s="18"/>
    </row>
    <row r="101" spans="1:26" ht="15" customHeight="1" x14ac:dyDescent="0.25">
      <c r="A101" s="10"/>
      <c r="B101" s="50" t="s">
        <v>298</v>
      </c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A102" s="10"/>
      <c r="B102" s="58"/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5DD1-2EBA-F993-1235-B46EA6277F6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299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5DBFB-0468-6561-2295-A9C1415AFEE1}">
  <sheetPr>
    <tabColor rgb="FF92D050"/>
    <outlinePr summaryBelow="0" summaryRight="0"/>
  </sheetPr>
  <dimension ref="A2:Z6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","423"," - ","Contract/Vending Revenue")</f>
        <v>Department 423 - Contract/Vending Revenue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26709.09</v>
      </c>
      <c r="E18" s="23"/>
      <c r="F18" s="31">
        <f t="shared" ref="F18:F46" si="0">IF(D$12=0,0,D18/D$12)</f>
        <v>0</v>
      </c>
      <c r="G18" s="23"/>
      <c r="H18" s="23" cm="1">
        <f t="array" ref="H18">SUM(OSRRefH22x_0)</f>
        <v>0</v>
      </c>
      <c r="I18" s="23"/>
      <c r="J18" s="31">
        <f t="shared" ref="J18:J46" si="1">IF(H$12=0,0,H18/H$12)</f>
        <v>0</v>
      </c>
      <c r="K18" s="5"/>
      <c r="L18" s="23">
        <f t="shared" ref="L18:L46" si="2">+D18-H18</f>
        <v>26709.09</v>
      </c>
      <c r="M18" s="5"/>
      <c r="N18" s="31">
        <f t="shared" ref="N18:N46" si="3">IF(H18=0,0,L18/H18)</f>
        <v>0</v>
      </c>
      <c r="O18" s="11"/>
      <c r="P18" s="23" cm="1">
        <f t="array" ref="P18">SUM(OSRRefP22x_0)</f>
        <v>35606.729999999996</v>
      </c>
      <c r="Q18" s="23"/>
      <c r="R18" s="31">
        <f t="shared" ref="R18:R46" si="4">IF(P$12=0,0,P18/P$12)</f>
        <v>0</v>
      </c>
      <c r="S18" s="23"/>
      <c r="T18" s="23" cm="1">
        <f t="array" ref="T18">SUM(OSRRefT22x_0)</f>
        <v>0</v>
      </c>
      <c r="U18" s="23"/>
      <c r="V18" s="31">
        <f t="shared" ref="V18:V46" si="5">IF(T$12=0,0,T18/T$12)</f>
        <v>0</v>
      </c>
      <c r="W18" s="5"/>
      <c r="X18" s="23">
        <f t="shared" ref="X18:X46" si="6">+P18-T18</f>
        <v>35606.729999999996</v>
      </c>
      <c r="Y18" s="5"/>
      <c r="Z18" s="31">
        <f t="shared" ref="Z18:Z46" si="7">IF(T18=0,0,X18/T18)</f>
        <v>0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/>
      <c r="E20" s="3"/>
      <c r="F20" s="7">
        <f t="shared" si="0"/>
        <v>0</v>
      </c>
      <c r="G20" s="3"/>
      <c r="H20" s="8">
        <v>0</v>
      </c>
      <c r="I20" s="3"/>
      <c r="J20" s="7">
        <f t="shared" si="1"/>
        <v>0</v>
      </c>
      <c r="K20" s="3"/>
      <c r="L20" s="8">
        <f t="shared" si="2"/>
        <v>0</v>
      </c>
      <c r="M20" s="3"/>
      <c r="N20" s="7">
        <f t="shared" si="3"/>
        <v>0</v>
      </c>
      <c r="O20" s="12"/>
      <c r="P20" s="8"/>
      <c r="Q20" s="3"/>
      <c r="R20" s="7">
        <f t="shared" si="4"/>
        <v>0</v>
      </c>
      <c r="S20" s="3"/>
      <c r="T20" s="8">
        <v>0</v>
      </c>
      <c r="U20" s="3"/>
      <c r="V20" s="7">
        <f t="shared" si="5"/>
        <v>0</v>
      </c>
      <c r="W20" s="3"/>
      <c r="X20" s="8">
        <f t="shared" si="6"/>
        <v>0</v>
      </c>
      <c r="Y20" s="3"/>
      <c r="Z20" s="7">
        <f t="shared" si="7"/>
        <v>0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/>
      <c r="E21" s="3"/>
      <c r="F21" s="7">
        <f t="shared" si="0"/>
        <v>0</v>
      </c>
      <c r="G21" s="3"/>
      <c r="H21" s="8">
        <v>0</v>
      </c>
      <c r="I21" s="3"/>
      <c r="J21" s="7">
        <f t="shared" si="1"/>
        <v>0</v>
      </c>
      <c r="K21" s="3"/>
      <c r="L21" s="8">
        <f t="shared" si="2"/>
        <v>0</v>
      </c>
      <c r="M21" s="3"/>
      <c r="N21" s="7">
        <f t="shared" si="3"/>
        <v>0</v>
      </c>
      <c r="O21" s="12"/>
      <c r="P21" s="8"/>
      <c r="Q21" s="3"/>
      <c r="R21" s="7">
        <f t="shared" si="4"/>
        <v>0</v>
      </c>
      <c r="S21" s="3"/>
      <c r="T21" s="8">
        <v>0</v>
      </c>
      <c r="U21" s="3"/>
      <c r="V21" s="7">
        <f t="shared" si="5"/>
        <v>0</v>
      </c>
      <c r="W21" s="3"/>
      <c r="X21" s="8">
        <f t="shared" si="6"/>
        <v>0</v>
      </c>
      <c r="Y21" s="3"/>
      <c r="Z21" s="7">
        <f t="shared" si="7"/>
        <v>0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/>
      <c r="E22" s="3"/>
      <c r="F22" s="7">
        <f t="shared" si="0"/>
        <v>0</v>
      </c>
      <c r="G22" s="3"/>
      <c r="H22" s="8">
        <v>0</v>
      </c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/>
      <c r="Q22" s="3"/>
      <c r="R22" s="7">
        <f t="shared" si="4"/>
        <v>0</v>
      </c>
      <c r="S22" s="3"/>
      <c r="T22" s="8">
        <v>0</v>
      </c>
      <c r="U22" s="3"/>
      <c r="V22" s="7">
        <f t="shared" si="5"/>
        <v>0</v>
      </c>
      <c r="W22" s="3"/>
      <c r="X22" s="8">
        <f t="shared" si="6"/>
        <v>0</v>
      </c>
      <c r="Y22" s="3"/>
      <c r="Z22" s="7">
        <f t="shared" si="7"/>
        <v>0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/>
      <c r="E23" s="3"/>
      <c r="F23" s="7">
        <f t="shared" si="0"/>
        <v>0</v>
      </c>
      <c r="G23" s="3"/>
      <c r="H23" s="8">
        <v>0</v>
      </c>
      <c r="I23" s="3"/>
      <c r="J23" s="7">
        <f t="shared" si="1"/>
        <v>0</v>
      </c>
      <c r="K23" s="3"/>
      <c r="L23" s="8">
        <f t="shared" si="2"/>
        <v>0</v>
      </c>
      <c r="M23" s="3"/>
      <c r="N23" s="7">
        <f t="shared" si="3"/>
        <v>0</v>
      </c>
      <c r="O23" s="12"/>
      <c r="P23" s="8"/>
      <c r="Q23" s="3"/>
      <c r="R23" s="7">
        <f t="shared" si="4"/>
        <v>0</v>
      </c>
      <c r="S23" s="3"/>
      <c r="T23" s="8">
        <v>0</v>
      </c>
      <c r="U23" s="3"/>
      <c r="V23" s="7">
        <f t="shared" si="5"/>
        <v>0</v>
      </c>
      <c r="W23" s="3"/>
      <c r="X23" s="8">
        <f t="shared" si="6"/>
        <v>0</v>
      </c>
      <c r="Y23" s="3"/>
      <c r="Z23" s="7">
        <f t="shared" si="7"/>
        <v>0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/>
      <c r="E24" s="3"/>
      <c r="F24" s="7">
        <f t="shared" si="0"/>
        <v>0</v>
      </c>
      <c r="G24" s="3"/>
      <c r="H24" s="8">
        <v>0</v>
      </c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/>
      <c r="E27" s="3"/>
      <c r="F27" s="7">
        <f t="shared" si="0"/>
        <v>0</v>
      </c>
      <c r="G27" s="3"/>
      <c r="H27" s="8">
        <v>0</v>
      </c>
      <c r="I27" s="3"/>
      <c r="J27" s="7">
        <f t="shared" si="1"/>
        <v>0</v>
      </c>
      <c r="K27" s="3"/>
      <c r="L27" s="8">
        <f t="shared" si="2"/>
        <v>0</v>
      </c>
      <c r="M27" s="3"/>
      <c r="N27" s="7">
        <f t="shared" si="3"/>
        <v>0</v>
      </c>
      <c r="O27" s="12"/>
      <c r="P27" s="8"/>
      <c r="Q27" s="3"/>
      <c r="R27" s="7">
        <f t="shared" si="4"/>
        <v>0</v>
      </c>
      <c r="S27" s="3"/>
      <c r="T27" s="8">
        <v>0</v>
      </c>
      <c r="U27" s="3"/>
      <c r="V27" s="7">
        <f t="shared" si="5"/>
        <v>0</v>
      </c>
      <c r="W27" s="3"/>
      <c r="X27" s="8">
        <f t="shared" si="6"/>
        <v>0</v>
      </c>
      <c r="Y27" s="3"/>
      <c r="Z27" s="7">
        <f t="shared" si="7"/>
        <v>0</v>
      </c>
    </row>
    <row r="28" spans="1:26" s="69" customFormat="1" ht="15" customHeight="1" outlineLevel="1" collapsed="1" x14ac:dyDescent="0.25">
      <c r="A28" s="26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0</v>
      </c>
      <c r="E28" s="2"/>
      <c r="F28" s="6">
        <f t="shared" si="0"/>
        <v>0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0</v>
      </c>
      <c r="M28" s="2"/>
      <c r="N28" s="6">
        <f t="shared" si="3"/>
        <v>0</v>
      </c>
      <c r="O28" s="14"/>
      <c r="P28" s="2">
        <f>SUM(OSRRefP22_1x_0)</f>
        <v>0</v>
      </c>
      <c r="Q28" s="2"/>
      <c r="R28" s="6">
        <f t="shared" si="4"/>
        <v>0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0</v>
      </c>
      <c r="Y28" s="2"/>
      <c r="Z28" s="6">
        <f t="shared" si="7"/>
        <v>0</v>
      </c>
    </row>
    <row r="29" spans="1:26" s="70" customFormat="1" ht="15" hidden="1" customHeight="1" outlineLevel="2" x14ac:dyDescent="0.25">
      <c r="A29" s="25"/>
      <c r="B29" s="12" t="str">
        <f>CONCATENATE("          ","6001"," - ","ADMINISTRATIVE SALARIES")</f>
        <v xml:space="preserve">          6001 - ADMINISTRATIVE SALARIES</v>
      </c>
      <c r="C29" s="12"/>
      <c r="D29" s="8"/>
      <c r="E29" s="3"/>
      <c r="F29" s="7">
        <f t="shared" si="0"/>
        <v>0</v>
      </c>
      <c r="G29" s="3"/>
      <c r="H29" s="8">
        <v>0</v>
      </c>
      <c r="I29" s="3"/>
      <c r="J29" s="7">
        <f t="shared" si="1"/>
        <v>0</v>
      </c>
      <c r="K29" s="3"/>
      <c r="L29" s="8">
        <f t="shared" si="2"/>
        <v>0</v>
      </c>
      <c r="M29" s="3"/>
      <c r="N29" s="7">
        <f t="shared" si="3"/>
        <v>0</v>
      </c>
      <c r="O29" s="12"/>
      <c r="P29" s="8"/>
      <c r="Q29" s="3"/>
      <c r="R29" s="7">
        <f t="shared" si="4"/>
        <v>0</v>
      </c>
      <c r="S29" s="3"/>
      <c r="T29" s="8">
        <v>0</v>
      </c>
      <c r="U29" s="3"/>
      <c r="V29" s="7">
        <f t="shared" si="5"/>
        <v>0</v>
      </c>
      <c r="W29" s="3"/>
      <c r="X29" s="8">
        <f t="shared" si="6"/>
        <v>0</v>
      </c>
      <c r="Y29" s="3"/>
      <c r="Z29" s="7">
        <f t="shared" si="7"/>
        <v>0</v>
      </c>
    </row>
    <row r="30" spans="1:26" s="70" customFormat="1" ht="15" hidden="1" customHeight="1" outlineLevel="2" x14ac:dyDescent="0.25">
      <c r="A30" s="25"/>
      <c r="B30" s="12" t="str">
        <f>CONCATENATE("          ","6002"," - ","STAFF SALARIES")</f>
        <v xml:space="preserve">          6002 - STAFF SALARIES</v>
      </c>
      <c r="C30" s="12"/>
      <c r="D30" s="8"/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70" customFormat="1" ht="15" hidden="1" customHeight="1" outlineLevel="2" x14ac:dyDescent="0.25">
      <c r="A31" s="25"/>
      <c r="B31" s="12" t="str">
        <f>CONCATENATE("          ","6003"," - ","STAFF HOURLY-9 MONTH")</f>
        <v xml:space="preserve">          6003 - STAFF HOURLY-9 MONTH</v>
      </c>
      <c r="C31" s="12"/>
      <c r="D31" s="8"/>
      <c r="E31" s="3"/>
      <c r="F31" s="7">
        <f t="shared" si="0"/>
        <v>0</v>
      </c>
      <c r="G31" s="3"/>
      <c r="H31" s="8">
        <v>0</v>
      </c>
      <c r="I31" s="3"/>
      <c r="J31" s="7">
        <f t="shared" si="1"/>
        <v>0</v>
      </c>
      <c r="K31" s="3"/>
      <c r="L31" s="8">
        <f t="shared" si="2"/>
        <v>0</v>
      </c>
      <c r="M31" s="3"/>
      <c r="N31" s="7">
        <f t="shared" si="3"/>
        <v>0</v>
      </c>
      <c r="O31" s="12"/>
      <c r="P31" s="8"/>
      <c r="Q31" s="3"/>
      <c r="R31" s="7">
        <f t="shared" si="4"/>
        <v>0</v>
      </c>
      <c r="S31" s="3"/>
      <c r="T31" s="8">
        <v>0</v>
      </c>
      <c r="U31" s="3"/>
      <c r="V31" s="7">
        <f t="shared" si="5"/>
        <v>0</v>
      </c>
      <c r="W31" s="3"/>
      <c r="X31" s="8">
        <f t="shared" si="6"/>
        <v>0</v>
      </c>
      <c r="Y31" s="3"/>
      <c r="Z31" s="7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","6004"," - ","STAFF HOURLY")</f>
        <v xml:space="preserve">          6004 - STAFF HOURLY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","6005"," - ","TEMPORARY WAGES-HOURLY")</f>
        <v xml:space="preserve">          6005 - TEMPORARY WAGES-HOURLY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","6006"," - ","TEMPORARY PART TIME")</f>
        <v xml:space="preserve">          6006 - TEMPORARY PART TIME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","6007"," - ","STUDENT HOURLY")</f>
        <v xml:space="preserve">          6007 - STUDENT HOURLY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","6008"," - ","STUDENT HOURLY-FICA EXEMPT")</f>
        <v xml:space="preserve">          6008 - STUDENT HOURLY-FICA EXEMPT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","6009"," - ","TEMPORARY-SEASONAL")</f>
        <v xml:space="preserve">          6009 - TEMPORARY-SEASONAL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","6010"," - ","GRATUITY")</f>
        <v xml:space="preserve">          6010 - GRATUITY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69" customFormat="1" ht="15" customHeight="1" outlineLevel="1" collapsed="1" x14ac:dyDescent="0.25">
      <c r="A39" s="26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SUM(OSRRefD22_2x_0)</f>
        <v>26673.09</v>
      </c>
      <c r="E39" s="2"/>
      <c r="F39" s="6">
        <f t="shared" si="0"/>
        <v>0</v>
      </c>
      <c r="G39" s="2"/>
      <c r="H39" s="2">
        <f>SUM(OSRRefH22_2x_0)</f>
        <v>0</v>
      </c>
      <c r="I39" s="2"/>
      <c r="J39" s="6">
        <f t="shared" si="1"/>
        <v>0</v>
      </c>
      <c r="K39" s="2"/>
      <c r="L39" s="2">
        <f t="shared" si="2"/>
        <v>26673.09</v>
      </c>
      <c r="M39" s="2"/>
      <c r="N39" s="6">
        <f t="shared" si="3"/>
        <v>0</v>
      </c>
      <c r="O39" s="14"/>
      <c r="P39" s="2">
        <f>SUM(OSRRefP22_2x_0)</f>
        <v>34489.199999999997</v>
      </c>
      <c r="Q39" s="2"/>
      <c r="R39" s="6">
        <f t="shared" si="4"/>
        <v>0</v>
      </c>
      <c r="S39" s="2"/>
      <c r="T39" s="2">
        <f>SUM(OSRRefT22_2x_0)</f>
        <v>0</v>
      </c>
      <c r="U39" s="2"/>
      <c r="V39" s="6">
        <f t="shared" si="5"/>
        <v>0</v>
      </c>
      <c r="W39" s="2"/>
      <c r="X39" s="2">
        <f t="shared" si="6"/>
        <v>34489.199999999997</v>
      </c>
      <c r="Y39" s="2"/>
      <c r="Z39" s="6">
        <f t="shared" si="7"/>
        <v>0</v>
      </c>
    </row>
    <row r="40" spans="1:26" s="70" customFormat="1" ht="15" hidden="1" customHeight="1" outlineLevel="2" x14ac:dyDescent="0.25">
      <c r="A40" s="25"/>
      <c r="B40" s="12" t="str">
        <f>CONCATENATE("          ","6279"," - ","GENERAL EXPENSE")</f>
        <v xml:space="preserve">          6279 - GENERAL EXPENSE</v>
      </c>
      <c r="C40" s="12"/>
      <c r="D40" s="8">
        <v>26673.09</v>
      </c>
      <c r="E40" s="3"/>
      <c r="F40" s="7">
        <f t="shared" si="0"/>
        <v>0</v>
      </c>
      <c r="G40" s="3"/>
      <c r="H40" s="8"/>
      <c r="I40" s="3"/>
      <c r="J40" s="7">
        <f t="shared" si="1"/>
        <v>0</v>
      </c>
      <c r="K40" s="3"/>
      <c r="L40" s="8">
        <f t="shared" si="2"/>
        <v>26673.09</v>
      </c>
      <c r="M40" s="3"/>
      <c r="N40" s="7">
        <f t="shared" si="3"/>
        <v>0</v>
      </c>
      <c r="O40" s="12"/>
      <c r="P40" s="8">
        <v>34489.199999999997</v>
      </c>
      <c r="Q40" s="3"/>
      <c r="R40" s="7">
        <f t="shared" si="4"/>
        <v>0</v>
      </c>
      <c r="S40" s="3"/>
      <c r="T40" s="8"/>
      <c r="U40" s="3"/>
      <c r="V40" s="7">
        <f t="shared" si="5"/>
        <v>0</v>
      </c>
      <c r="W40" s="3"/>
      <c r="X40" s="8">
        <f t="shared" si="6"/>
        <v>34489.199999999997</v>
      </c>
      <c r="Y40" s="3"/>
      <c r="Z40" s="7">
        <f t="shared" si="7"/>
        <v>0</v>
      </c>
    </row>
    <row r="41" spans="1:26" s="69" customFormat="1" ht="15" customHeight="1" outlineLevel="1" collapsed="1" x14ac:dyDescent="0.25">
      <c r="A41" s="26"/>
      <c r="B41" s="14" t="str">
        <f>CONCATENATE("     ","Services                                          ")</f>
        <v xml:space="preserve">     Services                                          </v>
      </c>
      <c r="C41" s="14"/>
      <c r="D41" s="2">
        <f>SUM(OSRRefD22_3x_0)</f>
        <v>0</v>
      </c>
      <c r="E41" s="2"/>
      <c r="F41" s="6">
        <f t="shared" si="0"/>
        <v>0</v>
      </c>
      <c r="G41" s="2"/>
      <c r="H41" s="2">
        <f>SUM(OSRRefH22_3x_0)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SUM(OSRRefP22_3x_0)</f>
        <v>0</v>
      </c>
      <c r="Q41" s="2"/>
      <c r="R41" s="6">
        <f t="shared" si="4"/>
        <v>0</v>
      </c>
      <c r="S41" s="2"/>
      <c r="T41" s="2">
        <f>SUM(OSRRefT22_3x_0)</f>
        <v>0</v>
      </c>
      <c r="U41" s="2"/>
      <c r="V41" s="6">
        <f t="shared" si="5"/>
        <v>0</v>
      </c>
      <c r="W41" s="2"/>
      <c r="X41" s="2">
        <f t="shared" si="6"/>
        <v>0</v>
      </c>
      <c r="Y41" s="2"/>
      <c r="Z41" s="6">
        <f t="shared" si="7"/>
        <v>0</v>
      </c>
    </row>
    <row r="42" spans="1:26" s="70" customFormat="1" ht="15" hidden="1" customHeight="1" outlineLevel="2" x14ac:dyDescent="0.25">
      <c r="A42" s="25"/>
      <c r="B42" s="12" t="str">
        <f>CONCATENATE("          ","6284"," - ","TRASH REMOVAL EXPENSE")</f>
        <v xml:space="preserve">          6284 - TRASH REMOVAL EXPENSE</v>
      </c>
      <c r="C42" s="12"/>
      <c r="D42" s="8"/>
      <c r="E42" s="3"/>
      <c r="F42" s="7">
        <f t="shared" si="0"/>
        <v>0</v>
      </c>
      <c r="G42" s="3"/>
      <c r="H42" s="8"/>
      <c r="I42" s="3"/>
      <c r="J42" s="7">
        <f t="shared" si="1"/>
        <v>0</v>
      </c>
      <c r="K42" s="3"/>
      <c r="L42" s="8">
        <f t="shared" si="2"/>
        <v>0</v>
      </c>
      <c r="M42" s="3"/>
      <c r="N42" s="7">
        <f t="shared" si="3"/>
        <v>0</v>
      </c>
      <c r="O42" s="12"/>
      <c r="P42" s="8"/>
      <c r="Q42" s="3"/>
      <c r="R42" s="7">
        <f t="shared" si="4"/>
        <v>0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0</v>
      </c>
      <c r="Y42" s="3"/>
      <c r="Z42" s="7">
        <f t="shared" si="7"/>
        <v>0</v>
      </c>
    </row>
    <row r="43" spans="1:26" s="69" customFormat="1" ht="15" customHeight="1" outlineLevel="1" collapsed="1" x14ac:dyDescent="0.25">
      <c r="A43" s="26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SUM(OSRRefD22_4x_0)</f>
        <v>0</v>
      </c>
      <c r="E43" s="2"/>
      <c r="F43" s="6">
        <f t="shared" si="0"/>
        <v>0</v>
      </c>
      <c r="G43" s="2"/>
      <c r="H43" s="2">
        <f>SUM(OSRRefH22_4x_0)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SUM(OSRRefP22_4x_0)</f>
        <v>564.03</v>
      </c>
      <c r="Q43" s="2"/>
      <c r="R43" s="6">
        <f t="shared" si="4"/>
        <v>0</v>
      </c>
      <c r="S43" s="2"/>
      <c r="T43" s="2">
        <f>SUM(OSRRefT22_4x_0)</f>
        <v>0</v>
      </c>
      <c r="U43" s="2"/>
      <c r="V43" s="6">
        <f t="shared" si="5"/>
        <v>0</v>
      </c>
      <c r="W43" s="2"/>
      <c r="X43" s="2">
        <f t="shared" si="6"/>
        <v>564.03</v>
      </c>
      <c r="Y43" s="2"/>
      <c r="Z43" s="6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","6241"," - ","OFFICE EXPENSE")</f>
        <v xml:space="preserve">          6241 - OFFICE EXPENSE</v>
      </c>
      <c r="C44" s="12"/>
      <c r="D44" s="8"/>
      <c r="E44" s="3"/>
      <c r="F44" s="7">
        <f t="shared" si="0"/>
        <v>0</v>
      </c>
      <c r="G44" s="3"/>
      <c r="H44" s="8"/>
      <c r="I44" s="3"/>
      <c r="J44" s="7">
        <f t="shared" si="1"/>
        <v>0</v>
      </c>
      <c r="K44" s="3"/>
      <c r="L44" s="8">
        <f t="shared" si="2"/>
        <v>0</v>
      </c>
      <c r="M44" s="3"/>
      <c r="N44" s="7">
        <f t="shared" si="3"/>
        <v>0</v>
      </c>
      <c r="O44" s="12"/>
      <c r="P44" s="8">
        <v>564.03</v>
      </c>
      <c r="Q44" s="3"/>
      <c r="R44" s="7">
        <f t="shared" si="4"/>
        <v>0</v>
      </c>
      <c r="S44" s="3"/>
      <c r="T44" s="8"/>
      <c r="U44" s="3"/>
      <c r="V44" s="7">
        <f t="shared" si="5"/>
        <v>0</v>
      </c>
      <c r="W44" s="3"/>
      <c r="X44" s="8">
        <f t="shared" si="6"/>
        <v>564.03</v>
      </c>
      <c r="Y44" s="3"/>
      <c r="Z44" s="7">
        <f t="shared" si="7"/>
        <v>0</v>
      </c>
    </row>
    <row r="45" spans="1:26" s="69" customFormat="1" ht="15" customHeight="1" outlineLevel="1" collapsed="1" x14ac:dyDescent="0.25">
      <c r="A45" s="26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SUM(OSRRefD22_5x_0)</f>
        <v>36</v>
      </c>
      <c r="E45" s="2"/>
      <c r="F45" s="6">
        <f t="shared" si="0"/>
        <v>0</v>
      </c>
      <c r="G45" s="2"/>
      <c r="H45" s="2">
        <f>SUM(OSRRefH22_5x_0)</f>
        <v>0</v>
      </c>
      <c r="I45" s="2"/>
      <c r="J45" s="6">
        <f t="shared" si="1"/>
        <v>0</v>
      </c>
      <c r="K45" s="2"/>
      <c r="L45" s="2">
        <f t="shared" si="2"/>
        <v>36</v>
      </c>
      <c r="M45" s="2"/>
      <c r="N45" s="6">
        <f t="shared" si="3"/>
        <v>0</v>
      </c>
      <c r="O45" s="14"/>
      <c r="P45" s="2">
        <f>SUM(OSRRefP22_5x_0)</f>
        <v>553.5</v>
      </c>
      <c r="Q45" s="2"/>
      <c r="R45" s="6">
        <f t="shared" si="4"/>
        <v>0</v>
      </c>
      <c r="S45" s="2"/>
      <c r="T45" s="2">
        <f>SUM(OSRRefT22_5x_0)</f>
        <v>0</v>
      </c>
      <c r="U45" s="2"/>
      <c r="V45" s="6">
        <f t="shared" si="5"/>
        <v>0</v>
      </c>
      <c r="W45" s="2"/>
      <c r="X45" s="2">
        <f t="shared" si="6"/>
        <v>553.5</v>
      </c>
      <c r="Y45" s="2"/>
      <c r="Z45" s="6">
        <f t="shared" si="7"/>
        <v>0</v>
      </c>
    </row>
    <row r="46" spans="1:26" s="70" customFormat="1" ht="15" hidden="1" customHeight="1" outlineLevel="2" x14ac:dyDescent="0.25">
      <c r="A46" s="25"/>
      <c r="B46" s="12" t="str">
        <f>CONCATENATE("          ","6309"," - ","TELEPHONE")</f>
        <v xml:space="preserve">          6309 - TELEPHONE</v>
      </c>
      <c r="C46" s="12"/>
      <c r="D46" s="8">
        <v>36</v>
      </c>
      <c r="E46" s="3"/>
      <c r="F46" s="7">
        <f t="shared" si="0"/>
        <v>0</v>
      </c>
      <c r="G46" s="3"/>
      <c r="H46" s="8"/>
      <c r="I46" s="3"/>
      <c r="J46" s="7">
        <f t="shared" si="1"/>
        <v>0</v>
      </c>
      <c r="K46" s="3"/>
      <c r="L46" s="8">
        <f t="shared" si="2"/>
        <v>36</v>
      </c>
      <c r="M46" s="3"/>
      <c r="N46" s="7">
        <f t="shared" si="3"/>
        <v>0</v>
      </c>
      <c r="O46" s="12"/>
      <c r="P46" s="8">
        <v>553.5</v>
      </c>
      <c r="Q46" s="3"/>
      <c r="R46" s="7">
        <f t="shared" si="4"/>
        <v>0</v>
      </c>
      <c r="S46" s="3"/>
      <c r="T46" s="8"/>
      <c r="U46" s="3"/>
      <c r="V46" s="7">
        <f t="shared" si="5"/>
        <v>0</v>
      </c>
      <c r="W46" s="3"/>
      <c r="X46" s="8">
        <f t="shared" si="6"/>
        <v>553.5</v>
      </c>
      <c r="Y46" s="3"/>
      <c r="Z46" s="7">
        <f t="shared" si="7"/>
        <v>0</v>
      </c>
    </row>
    <row r="47" spans="1:26" s="65" customFormat="1" ht="15" customHeight="1" x14ac:dyDescent="0.25">
      <c r="A47" s="35"/>
      <c r="B47" s="35"/>
      <c r="C47" s="35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5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3" customFormat="1" ht="15" customHeight="1" collapsed="1" x14ac:dyDescent="0.25">
      <c r="A48" s="11"/>
      <c r="B48" s="27" t="s">
        <v>291</v>
      </c>
      <c r="C48" s="11"/>
      <c r="D48" s="5">
        <f>SUM(OSRRefD25x_0)</f>
        <v>20798.34</v>
      </c>
      <c r="E48" s="5"/>
      <c r="F48" s="13">
        <f>IF(D$12=0,0,D48/D$12)</f>
        <v>0</v>
      </c>
      <c r="G48" s="5"/>
      <c r="H48" s="5">
        <f>SUM(OSRRefH25x_0)</f>
        <v>29120.489999999998</v>
      </c>
      <c r="I48" s="5"/>
      <c r="J48" s="13">
        <f>IF(H$12=0,0,H48/H$12)</f>
        <v>0</v>
      </c>
      <c r="K48" s="5"/>
      <c r="L48" s="5">
        <f>+D48-H48</f>
        <v>-8322.1499999999978</v>
      </c>
      <c r="M48" s="5"/>
      <c r="N48" s="13">
        <f>IF(H48=0,0,L48/H48)</f>
        <v>-0.28578330927810619</v>
      </c>
      <c r="O48" s="11"/>
      <c r="P48" s="5">
        <f>SUM(OSRRefP25x_0)</f>
        <v>160885.44</v>
      </c>
      <c r="Q48" s="5"/>
      <c r="R48" s="13">
        <f>IF(P$12=0,0,P48/P$12)</f>
        <v>0</v>
      </c>
      <c r="S48" s="5"/>
      <c r="T48" s="5">
        <f>SUM(OSRRefT25x_0)</f>
        <v>163853.02000000002</v>
      </c>
      <c r="U48" s="5"/>
      <c r="V48" s="13">
        <f>IF(T$12=0,0,T48/T$12)</f>
        <v>0</v>
      </c>
      <c r="W48" s="5"/>
      <c r="X48" s="5">
        <f>+P48-T48</f>
        <v>-2967.5800000000163</v>
      </c>
      <c r="Y48" s="5"/>
      <c r="Z48" s="13">
        <f>IF(T48=0,0,X48/T48)</f>
        <v>-1.8111231639185019E-2</v>
      </c>
    </row>
    <row r="49" spans="1:26" s="70" customFormat="1" ht="15" hidden="1" customHeight="1" outlineLevel="1" x14ac:dyDescent="0.25">
      <c r="A49" s="42"/>
      <c r="B49" s="12" t="str">
        <f>CONCATENATE("          ","9150"," - ","MISC. INCOME")</f>
        <v xml:space="preserve">          9150 - MISC. INCOME</v>
      </c>
      <c r="C49" s="12"/>
      <c r="D49" s="3">
        <f>--20798.34</f>
        <v>20798.34</v>
      </c>
      <c r="E49" s="3"/>
      <c r="F49" s="20">
        <f>IF(D$12=0,0,D49/D$12)</f>
        <v>0</v>
      </c>
      <c r="G49" s="3"/>
      <c r="H49" s="3"/>
      <c r="I49" s="3"/>
      <c r="J49" s="20">
        <f>IF(H$12=0,0,H49/H$12)</f>
        <v>0</v>
      </c>
      <c r="K49" s="3"/>
      <c r="L49" s="3">
        <f>+D49-H49</f>
        <v>20798.34</v>
      </c>
      <c r="M49" s="3"/>
      <c r="N49" s="20">
        <f>IF(H49=0,0,L49/H49)</f>
        <v>0</v>
      </c>
      <c r="O49" s="12"/>
      <c r="P49" s="3">
        <f>--160885.44</f>
        <v>160885.44</v>
      </c>
      <c r="Q49" s="3"/>
      <c r="R49" s="20">
        <f>IF(P$12=0,0,P49/P$12)</f>
        <v>0</v>
      </c>
      <c r="S49" s="3"/>
      <c r="T49" s="3">
        <v>1000</v>
      </c>
      <c r="U49" s="3"/>
      <c r="V49" s="20">
        <f>IF(T$12=0,0,T49/T$12)</f>
        <v>0</v>
      </c>
      <c r="W49" s="3"/>
      <c r="X49" s="3">
        <f>+P49-T49</f>
        <v>159885.44</v>
      </c>
      <c r="Y49" s="3"/>
      <c r="Z49" s="20">
        <f>IF(T49=0,0,X49/T49)</f>
        <v>159.88543999999999</v>
      </c>
    </row>
    <row r="50" spans="1:26" s="70" customFormat="1" ht="15" hidden="1" customHeight="1" outlineLevel="1" x14ac:dyDescent="0.25">
      <c r="A50" s="42"/>
      <c r="B50" s="12" t="str">
        <f>CONCATENATE("          ","9151"," - ","MISC. INCOME")</f>
        <v xml:space="preserve">          9151 - MISC. INCOME</v>
      </c>
      <c r="C50" s="12"/>
      <c r="D50" s="3">
        <f>0</f>
        <v>0</v>
      </c>
      <c r="E50" s="3"/>
      <c r="F50" s="20">
        <f>IF(D$12=0,0,D50/D$12)</f>
        <v>0</v>
      </c>
      <c r="G50" s="3"/>
      <c r="H50" s="3">
        <v>14541.98</v>
      </c>
      <c r="I50" s="3"/>
      <c r="J50" s="20">
        <f>IF(H$12=0,0,H50/H$12)</f>
        <v>0</v>
      </c>
      <c r="K50" s="3"/>
      <c r="L50" s="3">
        <f>+D50-H50</f>
        <v>-14541.98</v>
      </c>
      <c r="M50" s="3"/>
      <c r="N50" s="20">
        <f>IF(H50=0,0,L50/H50)</f>
        <v>-1</v>
      </c>
      <c r="O50" s="12"/>
      <c r="P50" s="3">
        <f>0</f>
        <v>0</v>
      </c>
      <c r="Q50" s="3"/>
      <c r="R50" s="20">
        <f>IF(P$12=0,0,P50/P$12)</f>
        <v>0</v>
      </c>
      <c r="S50" s="3"/>
      <c r="T50" s="3">
        <v>71840.89</v>
      </c>
      <c r="U50" s="3"/>
      <c r="V50" s="20">
        <f>IF(T$12=0,0,T50/T$12)</f>
        <v>0</v>
      </c>
      <c r="W50" s="3"/>
      <c r="X50" s="3">
        <f>+P50-T50</f>
        <v>-71840.89</v>
      </c>
      <c r="Y50" s="3"/>
      <c r="Z50" s="20">
        <f>IF(T50=0,0,X50/T50)</f>
        <v>-1</v>
      </c>
    </row>
    <row r="51" spans="1:26" s="70" customFormat="1" ht="15" hidden="1" customHeight="1" outlineLevel="1" x14ac:dyDescent="0.25">
      <c r="A51" s="42"/>
      <c r="B51" s="12" t="str">
        <f>CONCATENATE("          ","9160"," - ","MISC. INCOME")</f>
        <v xml:space="preserve">          9160 - MISC. INCOME</v>
      </c>
      <c r="C51" s="12"/>
      <c r="D51" s="3">
        <f>0</f>
        <v>0</v>
      </c>
      <c r="E51" s="3"/>
      <c r="F51" s="20">
        <f>IF(D$12=0,0,D51/D$12)</f>
        <v>0</v>
      </c>
      <c r="G51" s="3"/>
      <c r="H51" s="3">
        <v>14578.51</v>
      </c>
      <c r="I51" s="3"/>
      <c r="J51" s="20">
        <f>IF(H$12=0,0,H51/H$12)</f>
        <v>0</v>
      </c>
      <c r="K51" s="3"/>
      <c r="L51" s="3">
        <f>+D51-H51</f>
        <v>-14578.51</v>
      </c>
      <c r="M51" s="3"/>
      <c r="N51" s="20">
        <f>IF(H51=0,0,L51/H51)</f>
        <v>-1</v>
      </c>
      <c r="O51" s="12"/>
      <c r="P51" s="3">
        <f>0</f>
        <v>0</v>
      </c>
      <c r="Q51" s="3"/>
      <c r="R51" s="20">
        <f>IF(P$12=0,0,P51/P$12)</f>
        <v>0</v>
      </c>
      <c r="S51" s="3"/>
      <c r="T51" s="3">
        <v>91012.13</v>
      </c>
      <c r="U51" s="3"/>
      <c r="V51" s="20">
        <f>IF(T$12=0,0,T51/T$12)</f>
        <v>0</v>
      </c>
      <c r="W51" s="3"/>
      <c r="X51" s="3">
        <f>+P51-T51</f>
        <v>-91012.13</v>
      </c>
      <c r="Y51" s="3"/>
      <c r="Z51" s="20">
        <f>IF(T51=0,0,X51/T51)</f>
        <v>-1</v>
      </c>
    </row>
    <row r="52" spans="1:26" ht="15" customHeight="1" x14ac:dyDescent="0.25">
      <c r="A52" s="10"/>
      <c r="B52" s="11"/>
      <c r="C52" s="11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O52" s="11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3" customFormat="1" ht="15" customHeight="1" x14ac:dyDescent="0.25">
      <c r="A53" s="11"/>
      <c r="B53" s="28" t="s">
        <v>292</v>
      </c>
      <c r="C53" s="28"/>
      <c r="D53" s="22">
        <f>+D16-D18+D48</f>
        <v>-5910.75</v>
      </c>
      <c r="E53" s="15"/>
      <c r="F53" s="21">
        <f>IF(D$12=0,0,D53/D$12)</f>
        <v>0</v>
      </c>
      <c r="G53" s="15"/>
      <c r="H53" s="22">
        <f>+H16-H18+H48</f>
        <v>29120.489999999998</v>
      </c>
      <c r="I53" s="15"/>
      <c r="J53" s="21">
        <f>IF(H$12=0,0,H53/H$12)</f>
        <v>0</v>
      </c>
      <c r="K53" s="16"/>
      <c r="L53" s="22">
        <f>+D53-H53</f>
        <v>-35031.24</v>
      </c>
      <c r="M53" s="16"/>
      <c r="N53" s="21">
        <f>IF(H53=0,0,L53/H53)</f>
        <v>-1.2029756367423763</v>
      </c>
      <c r="O53" s="27"/>
      <c r="P53" s="22">
        <f>+P16-P18+P48</f>
        <v>125278.71</v>
      </c>
      <c r="Q53" s="15"/>
      <c r="R53" s="21">
        <f>IF(P$12=0,0,P53/P$12)</f>
        <v>0</v>
      </c>
      <c r="S53" s="15"/>
      <c r="T53" s="22">
        <f>+T16-T18+T48</f>
        <v>163853.02000000002</v>
      </c>
      <c r="U53" s="15"/>
      <c r="V53" s="21">
        <f>IF(T$12=0,0,T53/T$12)</f>
        <v>0</v>
      </c>
      <c r="W53" s="16"/>
      <c r="X53" s="22">
        <f>+P53-T53</f>
        <v>-38574.310000000012</v>
      </c>
      <c r="Y53" s="16"/>
      <c r="Z53" s="21">
        <f>IF(T53=0,0,X53/T53)</f>
        <v>-0.235420195489836</v>
      </c>
    </row>
    <row r="54" spans="1:26" ht="15" customHeight="1" x14ac:dyDescent="0.25">
      <c r="A54" s="10"/>
      <c r="B54" s="11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3" customFormat="1" ht="15" customHeight="1" x14ac:dyDescent="0.25">
      <c r="A55" s="49"/>
      <c r="B55" s="11" t="s">
        <v>293</v>
      </c>
      <c r="C55" s="11"/>
      <c r="D55" s="5"/>
      <c r="E55" s="5"/>
      <c r="F55" s="13">
        <f>IF(D$12=0,0,D55/D$12)</f>
        <v>0</v>
      </c>
      <c r="G55" s="5"/>
      <c r="H55" s="5"/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/>
      <c r="Q55" s="5"/>
      <c r="R55" s="13">
        <f>IF(P$12=0,0,P55/P$12)</f>
        <v>0</v>
      </c>
      <c r="S55" s="5"/>
      <c r="T55" s="5"/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25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25">
      <c r="A57" s="11"/>
      <c r="B57" s="28" t="s">
        <v>294</v>
      </c>
      <c r="C57" s="28"/>
      <c r="D57" s="34">
        <f>+D53-D55</f>
        <v>-5910.75</v>
      </c>
      <c r="E57" s="15"/>
      <c r="F57" s="32">
        <f>IF(D$12=0,0,D57/D$12)</f>
        <v>0</v>
      </c>
      <c r="G57" s="15"/>
      <c r="H57" s="34">
        <f>+H53-H55</f>
        <v>29120.489999999998</v>
      </c>
      <c r="I57" s="15"/>
      <c r="J57" s="32">
        <f>IF(H$12=0,0,H57/H$12)</f>
        <v>0</v>
      </c>
      <c r="K57" s="16"/>
      <c r="L57" s="34">
        <f>D57-H57</f>
        <v>-35031.24</v>
      </c>
      <c r="M57" s="16"/>
      <c r="N57" s="32">
        <f>IF(H57=0,0,L57/H57)</f>
        <v>-1.2029756367423763</v>
      </c>
      <c r="O57" s="27"/>
      <c r="P57" s="34">
        <f>+P53-P55</f>
        <v>125278.71</v>
      </c>
      <c r="Q57" s="15"/>
      <c r="R57" s="32">
        <f>IF(P$12=0,0,P57/P$12)</f>
        <v>0</v>
      </c>
      <c r="S57" s="15"/>
      <c r="T57" s="34">
        <f>+T53-T55</f>
        <v>163853.02000000002</v>
      </c>
      <c r="U57" s="15"/>
      <c r="V57" s="32">
        <f>IF(T$12=0,0,T57/T$12)</f>
        <v>0</v>
      </c>
      <c r="W57" s="16"/>
      <c r="X57" s="34">
        <f>P57-T57</f>
        <v>-38574.310000000012</v>
      </c>
      <c r="Y57" s="16"/>
      <c r="Z57" s="32">
        <f>IF(T57=0,0,X57/T57)</f>
        <v>-0.235420195489836</v>
      </c>
    </row>
    <row r="58" spans="1:26" ht="15" customHeight="1" x14ac:dyDescent="0.25">
      <c r="A58" s="10"/>
      <c r="B58" s="10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ht="15" customHeight="1" x14ac:dyDescent="0.25">
      <c r="A59" s="10"/>
      <c r="B59" s="10"/>
      <c r="C59" s="10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25">
      <c r="A60" s="11"/>
      <c r="B60" s="28" t="s">
        <v>297</v>
      </c>
      <c r="C60" s="28"/>
      <c r="D60" s="30">
        <f>SUM(D57:D59)</f>
        <v>-5910.75</v>
      </c>
      <c r="E60" s="15"/>
      <c r="F60" s="33">
        <f>IF(D$12=0,0,D60/D$12)</f>
        <v>0</v>
      </c>
      <c r="G60" s="15"/>
      <c r="H60" s="30">
        <f>SUM(H57:H59)</f>
        <v>29120.489999999998</v>
      </c>
      <c r="I60" s="15"/>
      <c r="J60" s="33">
        <f>IF(H$12=0,0,H60/H$12)</f>
        <v>0</v>
      </c>
      <c r="K60" s="16"/>
      <c r="L60" s="30">
        <f>+D60-H60</f>
        <v>-35031.24</v>
      </c>
      <c r="M60" s="16"/>
      <c r="N60" s="33">
        <f>IF(H60=0,0,L60/H60)</f>
        <v>-1.2029756367423763</v>
      </c>
      <c r="O60" s="27"/>
      <c r="P60" s="30">
        <f>SUM(P57:P59)</f>
        <v>125278.71</v>
      </c>
      <c r="Q60" s="15"/>
      <c r="R60" s="33">
        <f>IF(P$12=0,0,P60/P$12)</f>
        <v>0</v>
      </c>
      <c r="S60" s="15"/>
      <c r="T60" s="30">
        <f>SUM(T57:T59)</f>
        <v>163853.02000000002</v>
      </c>
      <c r="U60" s="15"/>
      <c r="V60" s="33">
        <f>IF(T$12=0,0,T60/T$12)</f>
        <v>0</v>
      </c>
      <c r="W60" s="16"/>
      <c r="X60" s="30">
        <f>+P60-T60</f>
        <v>-38574.310000000012</v>
      </c>
      <c r="Y60" s="16"/>
      <c r="Z60" s="33">
        <f>IF(T60=0,0,X60/T60)</f>
        <v>-0.235420195489836</v>
      </c>
    </row>
    <row r="61" spans="1:26" ht="15" customHeight="1" x14ac:dyDescent="0.25">
      <c r="A61" s="10"/>
      <c r="C61" s="10"/>
      <c r="D61" s="18"/>
      <c r="E61" s="18"/>
      <c r="G61" s="18"/>
      <c r="H61" s="18"/>
      <c r="I61" s="18"/>
      <c r="J61" s="40"/>
      <c r="K61" s="18"/>
      <c r="L61" s="18"/>
      <c r="M61" s="18"/>
      <c r="P61" s="18"/>
      <c r="Q61" s="18"/>
      <c r="R61" s="40"/>
      <c r="S61" s="18"/>
      <c r="T61" s="18"/>
      <c r="U61" s="18"/>
      <c r="V61" s="40"/>
      <c r="W61" s="18"/>
      <c r="X61" s="18"/>
    </row>
    <row r="62" spans="1:26" ht="15" customHeight="1" x14ac:dyDescent="0.25">
      <c r="A62" s="10"/>
      <c r="B62" s="54">
        <v>44727.874527581022</v>
      </c>
      <c r="D62" s="18"/>
      <c r="E62" s="18"/>
      <c r="G62" s="18"/>
      <c r="H62" s="18"/>
      <c r="I62" s="18"/>
      <c r="J62" s="40"/>
      <c r="K62" s="18"/>
      <c r="L62" s="18"/>
      <c r="M62" s="18"/>
      <c r="P62" s="18"/>
      <c r="Q62" s="18"/>
      <c r="R62" s="40"/>
      <c r="S62" s="18"/>
      <c r="T62" s="18"/>
      <c r="U62" s="18"/>
      <c r="V62" s="40"/>
      <c r="W62" s="18"/>
      <c r="X62" s="18"/>
    </row>
    <row r="63" spans="1:26" ht="15" customHeight="1" x14ac:dyDescent="0.25">
      <c r="A63" s="10"/>
      <c r="B63" s="50" t="s">
        <v>298</v>
      </c>
      <c r="D63" s="18"/>
      <c r="E63" s="18"/>
      <c r="G63" s="18"/>
      <c r="H63" s="18"/>
      <c r="I63" s="18"/>
      <c r="J63" s="40"/>
      <c r="K63" s="18"/>
      <c r="L63" s="18"/>
      <c r="M63" s="18"/>
      <c r="P63" s="18"/>
      <c r="Q63" s="18"/>
      <c r="R63" s="40"/>
      <c r="S63" s="18"/>
      <c r="T63" s="18"/>
      <c r="U63" s="18"/>
      <c r="V63" s="40"/>
      <c r="W63" s="18"/>
      <c r="X63" s="18"/>
    </row>
    <row r="64" spans="1:26" ht="15" customHeight="1" x14ac:dyDescent="0.25">
      <c r="A64" s="10"/>
      <c r="B64" s="58"/>
      <c r="D64" s="18"/>
      <c r="E64" s="18"/>
      <c r="G64" s="18"/>
      <c r="H64" s="18"/>
      <c r="I64" s="18"/>
      <c r="J64" s="40"/>
      <c r="K64" s="18"/>
      <c r="L64" s="18"/>
      <c r="M64" s="18"/>
      <c r="P64" s="18"/>
      <c r="Q64" s="18"/>
      <c r="R64" s="40"/>
      <c r="S64" s="18"/>
      <c r="T64" s="18"/>
      <c r="U64" s="18"/>
      <c r="V64" s="40"/>
      <c r="W64" s="18"/>
      <c r="X64" s="18"/>
    </row>
    <row r="65" spans="4:24" ht="15" customHeight="1" x14ac:dyDescent="0.25">
      <c r="D65" s="18"/>
      <c r="E65" s="18"/>
      <c r="G65" s="18"/>
      <c r="H65" s="18"/>
      <c r="I65" s="18"/>
      <c r="J65" s="40"/>
      <c r="K65" s="18"/>
      <c r="L65" s="18"/>
      <c r="M65" s="18"/>
      <c r="P65" s="18"/>
      <c r="Q65" s="18"/>
      <c r="R65" s="40"/>
      <c r="S65" s="18"/>
      <c r="T65" s="18"/>
      <c r="U65" s="18"/>
      <c r="V65" s="40"/>
      <c r="W65" s="18"/>
      <c r="X6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A46AB-3554-62C6-9A63-297F7AAE510B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","424"," - ","Blair Field")</f>
        <v>Department 424 - Blair Field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479.29</v>
      </c>
      <c r="E18" s="23"/>
      <c r="F18" s="31">
        <f t="shared" ref="F18:F24" si="0">IF(D$12=0,0,D18/D$12)</f>
        <v>0</v>
      </c>
      <c r="G18" s="23"/>
      <c r="H18" s="23" cm="1">
        <f t="array" ref="H18">SUM(OSRRefH22x_0)</f>
        <v>479</v>
      </c>
      <c r="I18" s="23"/>
      <c r="J18" s="31">
        <f t="shared" ref="J18:J24" si="1">IF(H$12=0,0,H18/H$12)</f>
        <v>0</v>
      </c>
      <c r="K18" s="5"/>
      <c r="L18" s="23">
        <f t="shared" ref="L18:L24" si="2">+D18-H18</f>
        <v>0.29000000000002046</v>
      </c>
      <c r="M18" s="5"/>
      <c r="N18" s="31">
        <f t="shared" ref="N18:N24" si="3">IF(H18=0,0,L18/H18)</f>
        <v>6.054279749478506E-4</v>
      </c>
      <c r="O18" s="11"/>
      <c r="P18" s="23" cm="1">
        <f t="array" ref="P18">SUM(OSRRefP22x_0)</f>
        <v>5751.19</v>
      </c>
      <c r="Q18" s="23"/>
      <c r="R18" s="31">
        <f t="shared" ref="R18:R24" si="4">IF(P$12=0,0,P18/P$12)</f>
        <v>0</v>
      </c>
      <c r="S18" s="23"/>
      <c r="T18" s="23" cm="1">
        <f t="array" ref="T18">SUM(OSRRefT22x_0)</f>
        <v>5269</v>
      </c>
      <c r="U18" s="23"/>
      <c r="V18" s="31">
        <f t="shared" ref="V18:V24" si="5">IF(T$12=0,0,T18/T$12)</f>
        <v>0</v>
      </c>
      <c r="W18" s="5"/>
      <c r="X18" s="23">
        <f t="shared" ref="X18:X24" si="6">+P18-T18</f>
        <v>482.1899999999996</v>
      </c>
      <c r="Y18" s="5"/>
      <c r="Z18" s="31">
        <f t="shared" ref="Z18:Z24" si="7">IF(T18=0,0,X18/T18)</f>
        <v>9.1514518884038637E-2</v>
      </c>
    </row>
    <row r="19" spans="1:26" s="69" customFormat="1" ht="15" customHeight="1" outlineLevel="1" collapsed="1" x14ac:dyDescent="0.25">
      <c r="A19" s="26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</v>
      </c>
      <c r="I19" s="2"/>
      <c r="J19" s="6">
        <f t="shared" si="1"/>
        <v>0</v>
      </c>
      <c r="K19" s="2"/>
      <c r="L19" s="2">
        <f t="shared" si="2"/>
        <v>0.29000000000002046</v>
      </c>
      <c r="M19" s="2"/>
      <c r="N19" s="6">
        <f t="shared" si="3"/>
        <v>6.054279749478506E-4</v>
      </c>
      <c r="O19" s="14"/>
      <c r="P19" s="2">
        <f>SUM(OSRRefP22_0x_0)</f>
        <v>5272.19</v>
      </c>
      <c r="Q19" s="2"/>
      <c r="R19" s="6">
        <f t="shared" si="4"/>
        <v>0</v>
      </c>
      <c r="S19" s="2"/>
      <c r="T19" s="2">
        <f>SUM(OSRRefT22_0x_0)</f>
        <v>5269</v>
      </c>
      <c r="U19" s="2"/>
      <c r="V19" s="6">
        <f t="shared" si="5"/>
        <v>0</v>
      </c>
      <c r="W19" s="2"/>
      <c r="X19" s="2">
        <f t="shared" si="6"/>
        <v>3.1899999999995998</v>
      </c>
      <c r="Y19" s="2"/>
      <c r="Z19" s="6">
        <f t="shared" si="7"/>
        <v>6.0542797494773199E-4</v>
      </c>
    </row>
    <row r="20" spans="1:26" s="70" customFormat="1" ht="15" hidden="1" customHeight="1" outlineLevel="2" x14ac:dyDescent="0.25">
      <c r="A20" s="25"/>
      <c r="B20" s="12" t="str">
        <f>CONCATENATE("          ","6322"," - ","EQUIPMENT DEPRECIATION EXPENSE")</f>
        <v xml:space="preserve">          6322 - EQUIPMENT DEPRECIATION EXPENSE</v>
      </c>
      <c r="C20" s="12"/>
      <c r="D20" s="8">
        <v>479.29</v>
      </c>
      <c r="E20" s="3"/>
      <c r="F20" s="7">
        <f t="shared" si="0"/>
        <v>0</v>
      </c>
      <c r="G20" s="3"/>
      <c r="H20" s="8">
        <v>479</v>
      </c>
      <c r="I20" s="3"/>
      <c r="J20" s="7">
        <f t="shared" si="1"/>
        <v>0</v>
      </c>
      <c r="K20" s="3"/>
      <c r="L20" s="8">
        <f t="shared" si="2"/>
        <v>0.29000000000002046</v>
      </c>
      <c r="M20" s="3"/>
      <c r="N20" s="7">
        <f t="shared" si="3"/>
        <v>6.054279749478506E-4</v>
      </c>
      <c r="O20" s="12"/>
      <c r="P20" s="8">
        <v>5272.19</v>
      </c>
      <c r="Q20" s="3"/>
      <c r="R20" s="7">
        <f t="shared" si="4"/>
        <v>0</v>
      </c>
      <c r="S20" s="3"/>
      <c r="T20" s="8">
        <v>5269</v>
      </c>
      <c r="U20" s="3"/>
      <c r="V20" s="7">
        <f t="shared" si="5"/>
        <v>0</v>
      </c>
      <c r="W20" s="3"/>
      <c r="X20" s="8">
        <f t="shared" si="6"/>
        <v>3.1899999999995998</v>
      </c>
      <c r="Y20" s="3"/>
      <c r="Z20" s="7">
        <f t="shared" si="7"/>
        <v>6.0542797494773199E-4</v>
      </c>
    </row>
    <row r="21" spans="1:26" s="69" customFormat="1" ht="15" customHeight="1" outlineLevel="1" collapsed="1" x14ac:dyDescent="0.25">
      <c r="A21" s="26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479</v>
      </c>
      <c r="Y21" s="2"/>
      <c r="Z21" s="6">
        <f t="shared" si="7"/>
        <v>0</v>
      </c>
    </row>
    <row r="22" spans="1:26" s="70" customFormat="1" ht="15" hidden="1" customHeight="1" outlineLevel="2" x14ac:dyDescent="0.25">
      <c r="A22" s="25"/>
      <c r="B22" s="12" t="str">
        <f>CONCATENATE("          ","6279"," - ","GENERAL EXPENSE")</f>
        <v xml:space="preserve">          6279 - GENERAL EXPENSE</v>
      </c>
      <c r="C22" s="12"/>
      <c r="D22" s="8"/>
      <c r="E22" s="3"/>
      <c r="F22" s="7">
        <f t="shared" si="0"/>
        <v>0</v>
      </c>
      <c r="G22" s="3"/>
      <c r="H22" s="8"/>
      <c r="I22" s="3"/>
      <c r="J22" s="7">
        <f t="shared" si="1"/>
        <v>0</v>
      </c>
      <c r="K22" s="3"/>
      <c r="L22" s="8">
        <f t="shared" si="2"/>
        <v>0</v>
      </c>
      <c r="M22" s="3"/>
      <c r="N22" s="7">
        <f t="shared" si="3"/>
        <v>0</v>
      </c>
      <c r="O22" s="12"/>
      <c r="P22" s="8">
        <v>479</v>
      </c>
      <c r="Q22" s="3"/>
      <c r="R22" s="7">
        <f t="shared" si="4"/>
        <v>0</v>
      </c>
      <c r="S22" s="3"/>
      <c r="T22" s="8"/>
      <c r="U22" s="3"/>
      <c r="V22" s="7">
        <f t="shared" si="5"/>
        <v>0</v>
      </c>
      <c r="W22" s="3"/>
      <c r="X22" s="8">
        <f t="shared" si="6"/>
        <v>479</v>
      </c>
      <c r="Y22" s="3"/>
      <c r="Z22" s="7">
        <f t="shared" si="7"/>
        <v>0</v>
      </c>
    </row>
    <row r="23" spans="1:26" s="69" customFormat="1" ht="15" customHeight="1" outlineLevel="1" collapsed="1" x14ac:dyDescent="0.25">
      <c r="A23" s="26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25">
      <c r="A24" s="25"/>
      <c r="B24" s="12" t="str">
        <f>CONCATENATE("          ","6284"," - ","TRASH REMOVAL EXPENSE")</f>
        <v xml:space="preserve">          6284 - TRASH REMOVAL EXPENSE</v>
      </c>
      <c r="C24" s="12"/>
      <c r="D24" s="8"/>
      <c r="E24" s="3"/>
      <c r="F24" s="7">
        <f t="shared" si="0"/>
        <v>0</v>
      </c>
      <c r="G24" s="3"/>
      <c r="H24" s="8"/>
      <c r="I24" s="3"/>
      <c r="J24" s="7">
        <f t="shared" si="1"/>
        <v>0</v>
      </c>
      <c r="K24" s="3"/>
      <c r="L24" s="8">
        <f t="shared" si="2"/>
        <v>0</v>
      </c>
      <c r="M24" s="3"/>
      <c r="N24" s="7">
        <f t="shared" si="3"/>
        <v>0</v>
      </c>
      <c r="O24" s="12"/>
      <c r="P24" s="8"/>
      <c r="Q24" s="3"/>
      <c r="R24" s="7">
        <f t="shared" si="4"/>
        <v>0</v>
      </c>
      <c r="S24" s="3"/>
      <c r="T24" s="8">
        <v>0</v>
      </c>
      <c r="U24" s="3"/>
      <c r="V24" s="7">
        <f t="shared" si="5"/>
        <v>0</v>
      </c>
      <c r="W24" s="3"/>
      <c r="X24" s="8">
        <f t="shared" si="6"/>
        <v>0</v>
      </c>
      <c r="Y24" s="3"/>
      <c r="Z24" s="7">
        <f t="shared" si="7"/>
        <v>0</v>
      </c>
    </row>
    <row r="25" spans="1:26" s="65" customFormat="1" ht="15" customHeight="1" x14ac:dyDescent="0.25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25">
      <c r="A26" s="11"/>
      <c r="B26" s="27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25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25">
      <c r="A28" s="11"/>
      <c r="B28" s="28" t="s">
        <v>292</v>
      </c>
      <c r="C28" s="28"/>
      <c r="D28" s="22">
        <f>+D16-D18+D26</f>
        <v>-479.29</v>
      </c>
      <c r="E28" s="15"/>
      <c r="F28" s="21">
        <f>IF(D$12=0,0,D28/D$12)</f>
        <v>0</v>
      </c>
      <c r="G28" s="15"/>
      <c r="H28" s="22">
        <f>+H16-H18+H26</f>
        <v>-479</v>
      </c>
      <c r="I28" s="15"/>
      <c r="J28" s="21">
        <f>IF(H$12=0,0,H28/H$12)</f>
        <v>0</v>
      </c>
      <c r="K28" s="16"/>
      <c r="L28" s="22">
        <f>+D28-H28</f>
        <v>-0.29000000000002046</v>
      </c>
      <c r="M28" s="16"/>
      <c r="N28" s="21">
        <f>IF(H28=0,0,L28/H28)</f>
        <v>6.054279749478506E-4</v>
      </c>
      <c r="O28" s="27"/>
      <c r="P28" s="22">
        <f>+P16-P18+P26</f>
        <v>-5751.19</v>
      </c>
      <c r="Q28" s="15"/>
      <c r="R28" s="21">
        <f>IF(P$12=0,0,P28/P$12)</f>
        <v>0</v>
      </c>
      <c r="S28" s="15"/>
      <c r="T28" s="22">
        <f>+T16-T18+T26</f>
        <v>-5269</v>
      </c>
      <c r="U28" s="15"/>
      <c r="V28" s="21">
        <f>IF(T$12=0,0,T28/T$12)</f>
        <v>0</v>
      </c>
      <c r="W28" s="16"/>
      <c r="X28" s="22">
        <f>+P28-T28</f>
        <v>-482.1899999999996</v>
      </c>
      <c r="Y28" s="16"/>
      <c r="Z28" s="21">
        <f>IF(T28=0,0,X28/T28)</f>
        <v>9.1514518884038637E-2</v>
      </c>
    </row>
    <row r="29" spans="1:26" ht="15" customHeight="1" x14ac:dyDescent="0.25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25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25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25">
      <c r="A32" s="11"/>
      <c r="B32" s="28" t="s">
        <v>294</v>
      </c>
      <c r="C32" s="28"/>
      <c r="D32" s="34">
        <f>+D28-D30</f>
        <v>-479.29</v>
      </c>
      <c r="E32" s="15"/>
      <c r="F32" s="32">
        <f>IF(D$12=0,0,D32/D$12)</f>
        <v>0</v>
      </c>
      <c r="G32" s="15"/>
      <c r="H32" s="34">
        <f>+H28-H30</f>
        <v>-479</v>
      </c>
      <c r="I32" s="15"/>
      <c r="J32" s="32">
        <f>IF(H$12=0,0,H32/H$12)</f>
        <v>0</v>
      </c>
      <c r="K32" s="16"/>
      <c r="L32" s="34">
        <f>D32-H32</f>
        <v>-0.29000000000002046</v>
      </c>
      <c r="M32" s="16"/>
      <c r="N32" s="32">
        <f>IF(H32=0,0,L32/H32)</f>
        <v>6.054279749478506E-4</v>
      </c>
      <c r="O32" s="27"/>
      <c r="P32" s="34">
        <f>+P28-P30</f>
        <v>-5751.19</v>
      </c>
      <c r="Q32" s="15"/>
      <c r="R32" s="32">
        <f>IF(P$12=0,0,P32/P$12)</f>
        <v>0</v>
      </c>
      <c r="S32" s="15"/>
      <c r="T32" s="34">
        <f>+T28-T30</f>
        <v>-5269</v>
      </c>
      <c r="U32" s="15"/>
      <c r="V32" s="32">
        <f>IF(T$12=0,0,T32/T$12)</f>
        <v>0</v>
      </c>
      <c r="W32" s="16"/>
      <c r="X32" s="34">
        <f>P32-T32</f>
        <v>-482.1899999999996</v>
      </c>
      <c r="Y32" s="16"/>
      <c r="Z32" s="32">
        <f>IF(T32=0,0,X32/T32)</f>
        <v>9.1514518884038637E-2</v>
      </c>
    </row>
    <row r="33" spans="1:26" ht="15" customHeight="1" x14ac:dyDescent="0.25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25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25">
      <c r="A35" s="11"/>
      <c r="B35" s="28" t="s">
        <v>297</v>
      </c>
      <c r="C35" s="28"/>
      <c r="D35" s="30">
        <f>SUM(D32:D34)</f>
        <v>-479.29</v>
      </c>
      <c r="E35" s="15"/>
      <c r="F35" s="33">
        <f>IF(D$12=0,0,D35/D$12)</f>
        <v>0</v>
      </c>
      <c r="G35" s="15"/>
      <c r="H35" s="30">
        <f>SUM(H32:H34)</f>
        <v>-479</v>
      </c>
      <c r="I35" s="15"/>
      <c r="J35" s="33">
        <f>IF(H$12=0,0,H35/H$12)</f>
        <v>0</v>
      </c>
      <c r="K35" s="16"/>
      <c r="L35" s="30">
        <f>+D35-H35</f>
        <v>-0.29000000000002046</v>
      </c>
      <c r="M35" s="16"/>
      <c r="N35" s="33">
        <f>IF(H35=0,0,L35/H35)</f>
        <v>6.054279749478506E-4</v>
      </c>
      <c r="O35" s="27"/>
      <c r="P35" s="30">
        <f>SUM(P32:P34)</f>
        <v>-5751.19</v>
      </c>
      <c r="Q35" s="15"/>
      <c r="R35" s="33">
        <f>IF(P$12=0,0,P35/P$12)</f>
        <v>0</v>
      </c>
      <c r="S35" s="15"/>
      <c r="T35" s="30">
        <f>SUM(T32:T34)</f>
        <v>-5269</v>
      </c>
      <c r="U35" s="15"/>
      <c r="V35" s="33">
        <f>IF(T$12=0,0,T35/T$12)</f>
        <v>0</v>
      </c>
      <c r="W35" s="16"/>
      <c r="X35" s="30">
        <f>+P35-T35</f>
        <v>-482.1899999999996</v>
      </c>
      <c r="Y35" s="16"/>
      <c r="Z35" s="33">
        <f>IF(T35=0,0,X35/T35)</f>
        <v>9.1514518884038637E-2</v>
      </c>
    </row>
    <row r="36" spans="1:26" ht="15" customHeight="1" x14ac:dyDescent="0.25">
      <c r="A36" s="10"/>
      <c r="C36" s="10"/>
      <c r="D36" s="18"/>
      <c r="E36" s="18"/>
      <c r="G36" s="18"/>
      <c r="H36" s="18"/>
      <c r="I36" s="18"/>
      <c r="J36" s="40"/>
      <c r="K36" s="18"/>
      <c r="L36" s="18"/>
      <c r="M36" s="18"/>
      <c r="P36" s="18"/>
      <c r="Q36" s="18"/>
      <c r="R36" s="40"/>
      <c r="S36" s="18"/>
      <c r="T36" s="18"/>
      <c r="U36" s="18"/>
      <c r="V36" s="40"/>
      <c r="W36" s="18"/>
      <c r="X36" s="18"/>
    </row>
    <row r="37" spans="1:26" ht="15" customHeight="1" x14ac:dyDescent="0.25">
      <c r="A37" s="10"/>
      <c r="B37" s="54">
        <v>44727.874527581022</v>
      </c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0" t="s">
        <v>298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8"/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43AEA-70CD-1FE8-DADB-F47D62FE184D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","425"," - ","Events Center")</f>
        <v>Department 425 - Events Center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493.42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493.42</v>
      </c>
      <c r="M12" s="5"/>
      <c r="N12" s="13">
        <f>IF(H12=0,0,L12/H12)</f>
        <v>0</v>
      </c>
      <c r="O12" s="11"/>
      <c r="P12" s="5">
        <f>SUM(OSRRefP13x_0)</f>
        <v>24745.26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24745.26</v>
      </c>
      <c r="Y12" s="5"/>
      <c r="Z12" s="13">
        <f>IF(T12=0,0,X12/T12)</f>
        <v>0</v>
      </c>
    </row>
    <row r="13" spans="1:26" s="70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--493.42</f>
        <v>493.42</v>
      </c>
      <c r="E13" s="3"/>
      <c r="F13" s="20"/>
      <c r="G13" s="3"/>
      <c r="H13" s="3"/>
      <c r="I13" s="3"/>
      <c r="J13" s="20"/>
      <c r="K13" s="3"/>
      <c r="L13" s="3">
        <f>+D13-H13</f>
        <v>493.42</v>
      </c>
      <c r="M13" s="3"/>
      <c r="N13" s="20">
        <f>IF(H13=0,0,L13/H13)</f>
        <v>0</v>
      </c>
      <c r="O13" s="12"/>
      <c r="P13" s="3">
        <f>--24745.26</f>
        <v>24745.26</v>
      </c>
      <c r="Q13" s="3"/>
      <c r="R13" s="20"/>
      <c r="S13" s="3"/>
      <c r="T13" s="3"/>
      <c r="U13" s="3"/>
      <c r="V13" s="20"/>
      <c r="W13" s="3"/>
      <c r="X13" s="3">
        <f>+P13-T13</f>
        <v>24745.26</v>
      </c>
      <c r="Y13" s="3"/>
      <c r="Z13" s="20">
        <f>IF(T13=0,0,X13/T13)</f>
        <v>0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>
        <f>SUM(OSRRefD16x_0)</f>
        <v>894.72</v>
      </c>
      <c r="E15" s="5"/>
      <c r="F15" s="13">
        <f>IF(D$12=0,0,D15/D$12)</f>
        <v>1.8133030683798792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894.72</v>
      </c>
      <c r="M15" s="5"/>
      <c r="N15" s="13">
        <f>IF(H15=0,0,L15/H15)</f>
        <v>0</v>
      </c>
      <c r="O15" s="11"/>
      <c r="P15" s="5">
        <f>SUM(OSRRefP16x_0)</f>
        <v>11406.91</v>
      </c>
      <c r="Q15" s="5"/>
      <c r="R15" s="13">
        <f>IF(P$12=0,0,P15/P$12)</f>
        <v>0.46097353594183293</v>
      </c>
      <c r="S15" s="5"/>
      <c r="T15" s="5">
        <f>SUM(OSRRefT16x_0)</f>
        <v>0</v>
      </c>
      <c r="U15" s="5"/>
      <c r="V15" s="13">
        <f>IF(T$12=0,0,T15/T$12)</f>
        <v>0</v>
      </c>
      <c r="W15" s="5"/>
      <c r="X15" s="5">
        <f>+P15-T15</f>
        <v>11406.91</v>
      </c>
      <c r="Y15" s="5"/>
      <c r="Z15" s="13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894.72</v>
      </c>
      <c r="E16" s="3"/>
      <c r="F16" s="20">
        <f>IF(D$12=0,0,D16/D$12)</f>
        <v>1.8133030683798792</v>
      </c>
      <c r="G16" s="3"/>
      <c r="H16" s="3"/>
      <c r="I16" s="3"/>
      <c r="J16" s="20">
        <f>IF(H$12=0,0,H16/H$12)</f>
        <v>0</v>
      </c>
      <c r="K16" s="3"/>
      <c r="L16" s="3">
        <f>+D16-H16</f>
        <v>894.72</v>
      </c>
      <c r="M16" s="3"/>
      <c r="N16" s="20">
        <f>IF(H16=0,0,L16/H16)</f>
        <v>0</v>
      </c>
      <c r="O16" s="12"/>
      <c r="P16" s="3">
        <v>11406.91</v>
      </c>
      <c r="Q16" s="3"/>
      <c r="R16" s="20">
        <f>IF(P$12=0,0,P16/P$12)</f>
        <v>0.46097353594183293</v>
      </c>
      <c r="S16" s="3"/>
      <c r="T16" s="3"/>
      <c r="U16" s="3"/>
      <c r="V16" s="20">
        <f>IF(T$12=0,0,T16/T$12)</f>
        <v>0</v>
      </c>
      <c r="W16" s="3"/>
      <c r="X16" s="3">
        <f>+P16-T16</f>
        <v>11406.91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>
        <f>D12-D15</f>
        <v>-401.3</v>
      </c>
      <c r="E18" s="15"/>
      <c r="F18" s="21">
        <f>IF(D$12=0,0,D18/D$12)</f>
        <v>-0.8133030683798792</v>
      </c>
      <c r="G18" s="15"/>
      <c r="H18" s="22">
        <f>H12-H15</f>
        <v>0</v>
      </c>
      <c r="I18" s="15"/>
      <c r="J18" s="21">
        <f>IF(H$12=0,0,H18/H$12)</f>
        <v>0</v>
      </c>
      <c r="K18" s="16"/>
      <c r="L18" s="22">
        <f>+D18-H18</f>
        <v>-401.3</v>
      </c>
      <c r="M18" s="16"/>
      <c r="N18" s="21">
        <f>IF(H18=0,0,L18/H18)</f>
        <v>0</v>
      </c>
      <c r="O18" s="27"/>
      <c r="P18" s="22">
        <f>P12-P15</f>
        <v>13338.349999999999</v>
      </c>
      <c r="Q18" s="15"/>
      <c r="R18" s="21">
        <f>IF(P$12=0,0,P18/P$12)</f>
        <v>0.53902646405816712</v>
      </c>
      <c r="S18" s="15"/>
      <c r="T18" s="22">
        <f>T12-T15</f>
        <v>0</v>
      </c>
      <c r="U18" s="15"/>
      <c r="V18" s="21">
        <f>IF(T$12=0,0,T18/T$12)</f>
        <v>0</v>
      </c>
      <c r="W18" s="16"/>
      <c r="X18" s="22">
        <f>+P18-T18</f>
        <v>13338.349999999999</v>
      </c>
      <c r="Y18" s="16"/>
      <c r="Z18" s="21">
        <f>IF(T18=0,0,X18/T18)</f>
        <v>0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cm="1">
        <f t="array" ref="D20">SUM(OSRRefD22x_0)</f>
        <v>1800.78</v>
      </c>
      <c r="E20" s="23"/>
      <c r="F20" s="31">
        <f t="shared" ref="F20:F32" si="0">IF(D$12=0,0,D20/D$12)</f>
        <v>3.6495885857889827</v>
      </c>
      <c r="G20" s="23"/>
      <c r="H20" s="23" cm="1">
        <f t="array" ref="H20">SUM(OSRRefH22x_0)</f>
        <v>1001</v>
      </c>
      <c r="I20" s="23"/>
      <c r="J20" s="31">
        <f t="shared" ref="J20:J32" si="1">IF(H$12=0,0,H20/H$12)</f>
        <v>0</v>
      </c>
      <c r="K20" s="5"/>
      <c r="L20" s="23">
        <f t="shared" ref="L20:L32" si="2">+D20-H20</f>
        <v>799.78</v>
      </c>
      <c r="M20" s="5"/>
      <c r="N20" s="31">
        <f t="shared" ref="N20:N32" si="3">IF(H20=0,0,L20/H20)</f>
        <v>0.79898101898101892</v>
      </c>
      <c r="O20" s="11"/>
      <c r="P20" s="23" cm="1">
        <f t="array" ref="P20">SUM(OSRRefP22x_0)</f>
        <v>23538.649999999998</v>
      </c>
      <c r="Q20" s="23"/>
      <c r="R20" s="31">
        <f t="shared" ref="R20:R32" si="4">IF(P$12=0,0,P20/P$12)</f>
        <v>0.95123874228842209</v>
      </c>
      <c r="S20" s="23"/>
      <c r="T20" s="23" cm="1">
        <f t="array" ref="T20">SUM(OSRRefT22x_0)</f>
        <v>11011</v>
      </c>
      <c r="U20" s="23"/>
      <c r="V20" s="31">
        <f t="shared" ref="V20:V32" si="5">IF(T$12=0,0,T20/T$12)</f>
        <v>0</v>
      </c>
      <c r="W20" s="5"/>
      <c r="X20" s="23">
        <f t="shared" ref="X20:X32" si="6">+P20-T20</f>
        <v>12527.649999999998</v>
      </c>
      <c r="Y20" s="5"/>
      <c r="Z20" s="31">
        <f t="shared" ref="Z20:Z32" si="7">IF(T20=0,0,X20/T20)</f>
        <v>1.1377395331940785</v>
      </c>
    </row>
    <row r="21" spans="1:26" s="69" customFormat="1" ht="15" customHeight="1" outlineLevel="1" collapsed="1" x14ac:dyDescent="0.25">
      <c r="A21" s="26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SUM(OSRRefD22_0x_0)</f>
        <v>76.510000000000005</v>
      </c>
      <c r="E21" s="2"/>
      <c r="F21" s="6">
        <f t="shared" si="0"/>
        <v>0.15506059746260792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76.510000000000005</v>
      </c>
      <c r="M21" s="2"/>
      <c r="N21" s="6">
        <f t="shared" si="3"/>
        <v>0</v>
      </c>
      <c r="O21" s="14"/>
      <c r="P21" s="2">
        <f>SUM(OSRRefP22_0x_0)</f>
        <v>570.96</v>
      </c>
      <c r="Q21" s="2"/>
      <c r="R21" s="6">
        <f t="shared" si="4"/>
        <v>2.3073509835823108E-2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570.96</v>
      </c>
      <c r="Y21" s="2"/>
      <c r="Z21" s="6">
        <f t="shared" si="7"/>
        <v>0</v>
      </c>
    </row>
    <row r="22" spans="1:26" s="70" customFormat="1" ht="15" hidden="1" customHeight="1" outlineLevel="2" x14ac:dyDescent="0.25">
      <c r="A22" s="25"/>
      <c r="B22" s="12" t="str">
        <f>CONCATENATE("          ","6381"," - ","BANK/CREDIT CARD FEES")</f>
        <v xml:space="preserve">          6381 - BANK/CREDIT CARD FEES</v>
      </c>
      <c r="C22" s="12"/>
      <c r="D22" s="8">
        <v>76.510000000000005</v>
      </c>
      <c r="E22" s="3"/>
      <c r="F22" s="7">
        <f t="shared" si="0"/>
        <v>0.15506059746260792</v>
      </c>
      <c r="G22" s="3"/>
      <c r="H22" s="8"/>
      <c r="I22" s="3"/>
      <c r="J22" s="7">
        <f t="shared" si="1"/>
        <v>0</v>
      </c>
      <c r="K22" s="3"/>
      <c r="L22" s="8">
        <f t="shared" si="2"/>
        <v>76.510000000000005</v>
      </c>
      <c r="M22" s="3"/>
      <c r="N22" s="7">
        <f t="shared" si="3"/>
        <v>0</v>
      </c>
      <c r="O22" s="12"/>
      <c r="P22" s="8">
        <v>570.96</v>
      </c>
      <c r="Q22" s="3"/>
      <c r="R22" s="7">
        <f t="shared" si="4"/>
        <v>2.3073509835823108E-2</v>
      </c>
      <c r="S22" s="3"/>
      <c r="T22" s="8"/>
      <c r="U22" s="3"/>
      <c r="V22" s="7">
        <f t="shared" si="5"/>
        <v>0</v>
      </c>
      <c r="W22" s="3"/>
      <c r="X22" s="8">
        <f t="shared" si="6"/>
        <v>570.96</v>
      </c>
      <c r="Y22" s="3"/>
      <c r="Z22" s="7">
        <f t="shared" si="7"/>
        <v>0</v>
      </c>
    </row>
    <row r="23" spans="1:26" s="69" customFormat="1" ht="15" customHeight="1" outlineLevel="1" collapsed="1" x14ac:dyDescent="0.25">
      <c r="A23" s="26"/>
      <c r="B23" s="14" t="str">
        <f>CONCATENATE("     ","Depreciation                                      ")</f>
        <v xml:space="preserve">     Depreciation                                      </v>
      </c>
      <c r="C23" s="14"/>
      <c r="D23" s="2">
        <f>SUM(OSRRefD22_1x_0)</f>
        <v>1000.91</v>
      </c>
      <c r="E23" s="2"/>
      <c r="F23" s="6">
        <f t="shared" si="0"/>
        <v>2.0285152608325565</v>
      </c>
      <c r="G23" s="2"/>
      <c r="H23" s="2">
        <f>SUM(OSRRefH22_1x_0)</f>
        <v>1001</v>
      </c>
      <c r="I23" s="2"/>
      <c r="J23" s="6">
        <f t="shared" si="1"/>
        <v>0</v>
      </c>
      <c r="K23" s="2"/>
      <c r="L23" s="2">
        <f t="shared" si="2"/>
        <v>-9.0000000000031832E-2</v>
      </c>
      <c r="M23" s="2"/>
      <c r="N23" s="6">
        <f t="shared" si="3"/>
        <v>-8.9910089910121704E-5</v>
      </c>
      <c r="O23" s="14"/>
      <c r="P23" s="2">
        <f>SUM(OSRRefP22_1x_0)</f>
        <v>11010.01</v>
      </c>
      <c r="Q23" s="2"/>
      <c r="R23" s="6">
        <f t="shared" si="4"/>
        <v>0.44493410051056248</v>
      </c>
      <c r="S23" s="2"/>
      <c r="T23" s="2">
        <f>SUM(OSRRefT22_1x_0)</f>
        <v>11011</v>
      </c>
      <c r="U23" s="2"/>
      <c r="V23" s="6">
        <f t="shared" si="5"/>
        <v>0</v>
      </c>
      <c r="W23" s="2"/>
      <c r="X23" s="2">
        <f t="shared" si="6"/>
        <v>-0.98999999999978172</v>
      </c>
      <c r="Y23" s="2"/>
      <c r="Z23" s="6">
        <f t="shared" si="7"/>
        <v>-8.9910089910070083E-5</v>
      </c>
    </row>
    <row r="24" spans="1:26" s="70" customFormat="1" ht="15" hidden="1" customHeight="1" outlineLevel="2" x14ac:dyDescent="0.25">
      <c r="A24" s="25"/>
      <c r="B24" s="12" t="str">
        <f>CONCATENATE("          ","6322"," - ","EQUIPMENT DEPRECIATION EXPENSE")</f>
        <v xml:space="preserve">          6322 - EQUIPMENT DEPRECIATION EXPENSE</v>
      </c>
      <c r="C24" s="12"/>
      <c r="D24" s="8">
        <v>1000.91</v>
      </c>
      <c r="E24" s="3"/>
      <c r="F24" s="7">
        <f t="shared" si="0"/>
        <v>2.0285152608325565</v>
      </c>
      <c r="G24" s="3"/>
      <c r="H24" s="8">
        <v>1001</v>
      </c>
      <c r="I24" s="3"/>
      <c r="J24" s="7">
        <f t="shared" si="1"/>
        <v>0</v>
      </c>
      <c r="K24" s="3"/>
      <c r="L24" s="8">
        <f t="shared" si="2"/>
        <v>-9.0000000000031832E-2</v>
      </c>
      <c r="M24" s="3"/>
      <c r="N24" s="7">
        <f t="shared" si="3"/>
        <v>-8.9910089910121704E-5</v>
      </c>
      <c r="O24" s="12"/>
      <c r="P24" s="8">
        <v>11010.01</v>
      </c>
      <c r="Q24" s="3"/>
      <c r="R24" s="7">
        <f t="shared" si="4"/>
        <v>0.44493410051056248</v>
      </c>
      <c r="S24" s="3"/>
      <c r="T24" s="8">
        <v>11011</v>
      </c>
      <c r="U24" s="3"/>
      <c r="V24" s="7">
        <f t="shared" si="5"/>
        <v>0</v>
      </c>
      <c r="W24" s="3"/>
      <c r="X24" s="8">
        <f t="shared" si="6"/>
        <v>-0.98999999999978172</v>
      </c>
      <c r="Y24" s="3"/>
      <c r="Z24" s="7">
        <f t="shared" si="7"/>
        <v>-8.9910089910070083E-5</v>
      </c>
    </row>
    <row r="25" spans="1:26" s="69" customFormat="1" ht="15" customHeight="1" outlineLevel="1" collapsed="1" x14ac:dyDescent="0.25">
      <c r="A25" s="26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SUM(OSRRefD22_2x_0)</f>
        <v>600</v>
      </c>
      <c r="E25" s="2"/>
      <c r="F25" s="6">
        <f t="shared" si="0"/>
        <v>1.2160025941388675</v>
      </c>
      <c r="G25" s="2"/>
      <c r="H25" s="2">
        <f>SUM(OSRRefH22_2x_0)</f>
        <v>0</v>
      </c>
      <c r="I25" s="2"/>
      <c r="J25" s="6">
        <f t="shared" si="1"/>
        <v>0</v>
      </c>
      <c r="K25" s="2"/>
      <c r="L25" s="2">
        <f t="shared" si="2"/>
        <v>600</v>
      </c>
      <c r="M25" s="2"/>
      <c r="N25" s="6">
        <f t="shared" si="3"/>
        <v>0</v>
      </c>
      <c r="O25" s="14"/>
      <c r="P25" s="2">
        <f>SUM(OSRRefP22_2x_0)</f>
        <v>5655</v>
      </c>
      <c r="Q25" s="2"/>
      <c r="R25" s="6">
        <f t="shared" si="4"/>
        <v>0.22852861517720971</v>
      </c>
      <c r="S25" s="2"/>
      <c r="T25" s="2">
        <f>SUM(OSRRefT22_2x_0)</f>
        <v>0</v>
      </c>
      <c r="U25" s="2"/>
      <c r="V25" s="6">
        <f t="shared" si="5"/>
        <v>0</v>
      </c>
      <c r="W25" s="2"/>
      <c r="X25" s="2">
        <f t="shared" si="6"/>
        <v>5655</v>
      </c>
      <c r="Y25" s="2"/>
      <c r="Z25" s="6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","6279"," - ","GENERAL EXPENSE")</f>
        <v xml:space="preserve">          6279 - GENERAL EXPENSE</v>
      </c>
      <c r="C26" s="12"/>
      <c r="D26" s="8">
        <v>600</v>
      </c>
      <c r="E26" s="3"/>
      <c r="F26" s="7">
        <f t="shared" si="0"/>
        <v>1.2160025941388675</v>
      </c>
      <c r="G26" s="3"/>
      <c r="H26" s="8"/>
      <c r="I26" s="3"/>
      <c r="J26" s="7">
        <f t="shared" si="1"/>
        <v>0</v>
      </c>
      <c r="K26" s="3"/>
      <c r="L26" s="8">
        <f t="shared" si="2"/>
        <v>600</v>
      </c>
      <c r="M26" s="3"/>
      <c r="N26" s="7">
        <f t="shared" si="3"/>
        <v>0</v>
      </c>
      <c r="O26" s="12"/>
      <c r="P26" s="8">
        <v>5655</v>
      </c>
      <c r="Q26" s="3"/>
      <c r="R26" s="7">
        <f t="shared" si="4"/>
        <v>0.22852861517720971</v>
      </c>
      <c r="S26" s="3"/>
      <c r="T26" s="8"/>
      <c r="U26" s="3"/>
      <c r="V26" s="7">
        <f t="shared" si="5"/>
        <v>0</v>
      </c>
      <c r="W26" s="3"/>
      <c r="X26" s="8">
        <f t="shared" si="6"/>
        <v>5655</v>
      </c>
      <c r="Y26" s="3"/>
      <c r="Z26" s="7">
        <f t="shared" si="7"/>
        <v>0</v>
      </c>
    </row>
    <row r="27" spans="1:26" s="69" customFormat="1" ht="15" customHeight="1" outlineLevel="1" collapsed="1" x14ac:dyDescent="0.25">
      <c r="A27" s="26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2">
        <f>SUM(OSRRefD22_3x_0)</f>
        <v>123.36</v>
      </c>
      <c r="E27" s="2"/>
      <c r="F27" s="6">
        <f t="shared" si="0"/>
        <v>0.25001013335495115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123.36</v>
      </c>
      <c r="M27" s="2"/>
      <c r="N27" s="6">
        <f t="shared" si="3"/>
        <v>0</v>
      </c>
      <c r="O27" s="14"/>
      <c r="P27" s="2">
        <f>SUM(OSRRefP22_3x_0)</f>
        <v>6186.42</v>
      </c>
      <c r="Q27" s="2"/>
      <c r="R27" s="6">
        <f t="shared" si="4"/>
        <v>0.25000424323688658</v>
      </c>
      <c r="S27" s="2"/>
      <c r="T27" s="2">
        <f>SUM(OSRRefT22_3x_0)</f>
        <v>0</v>
      </c>
      <c r="U27" s="2"/>
      <c r="V27" s="6">
        <f t="shared" si="5"/>
        <v>0</v>
      </c>
      <c r="W27" s="2"/>
      <c r="X27" s="2">
        <f t="shared" si="6"/>
        <v>6186.42</v>
      </c>
      <c r="Y27" s="2"/>
      <c r="Z27" s="6">
        <f t="shared" si="7"/>
        <v>0</v>
      </c>
    </row>
    <row r="28" spans="1:26" s="70" customFormat="1" ht="15" hidden="1" customHeight="1" outlineLevel="2" x14ac:dyDescent="0.25">
      <c r="A28" s="25"/>
      <c r="B28" s="12" t="str">
        <f>CONCATENATE("          ","6254"," - ","ROYALTY &amp; COMMISSIONS")</f>
        <v xml:space="preserve">          6254 - ROYALTY &amp; COMMISSIONS</v>
      </c>
      <c r="C28" s="12"/>
      <c r="D28" s="8">
        <v>123.36</v>
      </c>
      <c r="E28" s="3"/>
      <c r="F28" s="7">
        <f t="shared" si="0"/>
        <v>0.25001013335495115</v>
      </c>
      <c r="G28" s="3"/>
      <c r="H28" s="8"/>
      <c r="I28" s="3"/>
      <c r="J28" s="7">
        <f t="shared" si="1"/>
        <v>0</v>
      </c>
      <c r="K28" s="3"/>
      <c r="L28" s="8">
        <f t="shared" si="2"/>
        <v>123.36</v>
      </c>
      <c r="M28" s="3"/>
      <c r="N28" s="7">
        <f t="shared" si="3"/>
        <v>0</v>
      </c>
      <c r="O28" s="12"/>
      <c r="P28" s="8">
        <v>6186.42</v>
      </c>
      <c r="Q28" s="3"/>
      <c r="R28" s="7">
        <f t="shared" si="4"/>
        <v>0.25000424323688658</v>
      </c>
      <c r="S28" s="3"/>
      <c r="T28" s="8"/>
      <c r="U28" s="3"/>
      <c r="V28" s="7">
        <f t="shared" si="5"/>
        <v>0</v>
      </c>
      <c r="W28" s="3"/>
      <c r="X28" s="8">
        <f t="shared" si="6"/>
        <v>6186.42</v>
      </c>
      <c r="Y28" s="3"/>
      <c r="Z28" s="7">
        <f t="shared" si="7"/>
        <v>0</v>
      </c>
    </row>
    <row r="29" spans="1:26" s="69" customFormat="1" ht="15" customHeight="1" outlineLevel="1" collapsed="1" x14ac:dyDescent="0.25">
      <c r="A29" s="26"/>
      <c r="B29" s="14" t="str">
        <f>CONCATENATE("     ","Services                                          ")</f>
        <v xml:space="preserve">     Services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0</v>
      </c>
      <c r="U29" s="2"/>
      <c r="V29" s="6">
        <f t="shared" si="5"/>
        <v>0</v>
      </c>
      <c r="W29" s="2"/>
      <c r="X29" s="2">
        <f t="shared" si="6"/>
        <v>0</v>
      </c>
      <c r="Y29" s="2"/>
      <c r="Z29" s="6">
        <f t="shared" si="7"/>
        <v>0</v>
      </c>
    </row>
    <row r="30" spans="1:26" s="70" customFormat="1" ht="15" hidden="1" customHeight="1" outlineLevel="2" x14ac:dyDescent="0.25">
      <c r="A30" s="25"/>
      <c r="B30" s="12" t="str">
        <f>CONCATENATE("          ","6284"," - ","TRASH REMOVAL EXPENSE")</f>
        <v xml:space="preserve">          6284 - TRASH REMOVAL EXPENSE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/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0</v>
      </c>
      <c r="Y30" s="3"/>
      <c r="Z30" s="7">
        <f t="shared" si="7"/>
        <v>0</v>
      </c>
    </row>
    <row r="31" spans="1:26" s="69" customFormat="1" ht="15" customHeight="1" outlineLevel="1" collapsed="1" x14ac:dyDescent="0.25">
      <c r="A31" s="26"/>
      <c r="B31" s="14" t="str">
        <f>CONCATENATE("     ","Supplies                                          ")</f>
        <v xml:space="preserve">     Supplies              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116.26</v>
      </c>
      <c r="Q31" s="2"/>
      <c r="R31" s="6">
        <f t="shared" si="4"/>
        <v>4.6982735279403011E-3</v>
      </c>
      <c r="S31" s="2"/>
      <c r="T31" s="2">
        <f>SUM(OSRRefT22_5x_0)</f>
        <v>0</v>
      </c>
      <c r="U31" s="2"/>
      <c r="V31" s="6">
        <f t="shared" si="5"/>
        <v>0</v>
      </c>
      <c r="W31" s="2"/>
      <c r="X31" s="2">
        <f t="shared" si="6"/>
        <v>116.26</v>
      </c>
      <c r="Y31" s="2"/>
      <c r="Z31" s="6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","6243"," - ","PAPER SUPPLIES")</f>
        <v xml:space="preserve">          6243 - PAPER SUPPLIES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116.26</v>
      </c>
      <c r="Q32" s="3"/>
      <c r="R32" s="7">
        <f t="shared" si="4"/>
        <v>4.6982735279403011E-3</v>
      </c>
      <c r="S32" s="3"/>
      <c r="T32" s="8"/>
      <c r="U32" s="3"/>
      <c r="V32" s="7">
        <f t="shared" si="5"/>
        <v>0</v>
      </c>
      <c r="W32" s="3"/>
      <c r="X32" s="8">
        <f t="shared" si="6"/>
        <v>116.26</v>
      </c>
      <c r="Y32" s="3"/>
      <c r="Z32" s="7">
        <f t="shared" si="7"/>
        <v>0</v>
      </c>
    </row>
    <row r="33" spans="1:26" s="65" customFormat="1" ht="15" customHeight="1" x14ac:dyDescent="0.25">
      <c r="A33" s="35"/>
      <c r="B33" s="35"/>
      <c r="C33" s="35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5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3" customFormat="1" ht="15" customHeight="1" x14ac:dyDescent="0.25">
      <c r="A34" s="11"/>
      <c r="B34" s="27" t="s">
        <v>291</v>
      </c>
      <c r="C34" s="11"/>
      <c r="D34" s="5">
        <f>SUM(0)</f>
        <v>0</v>
      </c>
      <c r="E34" s="5"/>
      <c r="F34" s="13">
        <f>IF(D$12=0,0,D34/D$12)</f>
        <v>0</v>
      </c>
      <c r="G34" s="5"/>
      <c r="H34" s="5">
        <f>SUM(0)</f>
        <v>0</v>
      </c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>
        <f>SUM(0)</f>
        <v>0</v>
      </c>
      <c r="Q34" s="5"/>
      <c r="R34" s="13">
        <f>IF(P$12=0,0,P34/P$12)</f>
        <v>0</v>
      </c>
      <c r="S34" s="5"/>
      <c r="T34" s="5">
        <f>SUM(0)</f>
        <v>0</v>
      </c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292</v>
      </c>
      <c r="C36" s="28"/>
      <c r="D36" s="22">
        <f>+D18-D20+D34</f>
        <v>-2202.08</v>
      </c>
      <c r="E36" s="15"/>
      <c r="F36" s="21">
        <f>IF(D$12=0,0,D36/D$12)</f>
        <v>-4.4628916541688621</v>
      </c>
      <c r="G36" s="15"/>
      <c r="H36" s="22">
        <f>+H18-H20+H34</f>
        <v>-1001</v>
      </c>
      <c r="I36" s="15"/>
      <c r="J36" s="21">
        <f>IF(H$12=0,0,H36/H$12)</f>
        <v>0</v>
      </c>
      <c r="K36" s="16"/>
      <c r="L36" s="22">
        <f>+D36-H36</f>
        <v>-1201.08</v>
      </c>
      <c r="M36" s="16"/>
      <c r="N36" s="21">
        <f>IF(H36=0,0,L36/H36)</f>
        <v>1.1998801198801199</v>
      </c>
      <c r="O36" s="27"/>
      <c r="P36" s="22">
        <f>+P18-P20+P34</f>
        <v>-10200.299999999999</v>
      </c>
      <c r="Q36" s="15"/>
      <c r="R36" s="21">
        <f>IF(P$12=0,0,P36/P$12)</f>
        <v>-0.41221227823025502</v>
      </c>
      <c r="S36" s="15"/>
      <c r="T36" s="22">
        <f>+T18-T20+T34</f>
        <v>-11011</v>
      </c>
      <c r="U36" s="15"/>
      <c r="V36" s="21">
        <f>IF(T$12=0,0,T36/T$12)</f>
        <v>0</v>
      </c>
      <c r="W36" s="16"/>
      <c r="X36" s="22">
        <f>+P36-T36</f>
        <v>810.70000000000073</v>
      </c>
      <c r="Y36" s="16"/>
      <c r="Z36" s="21">
        <f>IF(T36=0,0,X36/T36)</f>
        <v>-7.3626373626373698E-2</v>
      </c>
    </row>
    <row r="37" spans="1:26" ht="15" customHeight="1" x14ac:dyDescent="0.25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25">
      <c r="A38" s="49"/>
      <c r="B38" s="11" t="s">
        <v>293</v>
      </c>
      <c r="C38" s="11"/>
      <c r="D38" s="5">
        <v>34.65</v>
      </c>
      <c r="E38" s="5"/>
      <c r="F38" s="13">
        <f>IF(D$12=0,0,D38/D$12)</f>
        <v>7.0224149811519587E-2</v>
      </c>
      <c r="G38" s="5"/>
      <c r="H38" s="5"/>
      <c r="I38" s="5"/>
      <c r="J38" s="13">
        <f>IF(H$12=0,0,H38/H$12)</f>
        <v>0</v>
      </c>
      <c r="K38" s="5"/>
      <c r="L38" s="5">
        <f>+D38-H38</f>
        <v>34.65</v>
      </c>
      <c r="M38" s="5"/>
      <c r="N38" s="13">
        <f>IF(H38=0,0,L38/H38)</f>
        <v>0</v>
      </c>
      <c r="O38" s="11"/>
      <c r="P38" s="5">
        <v>2781.99</v>
      </c>
      <c r="Q38" s="5"/>
      <c r="R38" s="13">
        <f>IF(P$12=0,0,P38/P$12)</f>
        <v>0.11242516748662168</v>
      </c>
      <c r="S38" s="5"/>
      <c r="T38" s="5"/>
      <c r="U38" s="5"/>
      <c r="V38" s="13">
        <f>IF(T$12=0,0,T38/T$12)</f>
        <v>0</v>
      </c>
      <c r="W38" s="5"/>
      <c r="X38" s="5">
        <f>+P38-T38</f>
        <v>2781.99</v>
      </c>
      <c r="Y38" s="5"/>
      <c r="Z38" s="13">
        <f>IF(T38=0,0,X38/T38)</f>
        <v>0</v>
      </c>
    </row>
    <row r="39" spans="1:26" ht="15" customHeight="1" x14ac:dyDescent="0.25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25">
      <c r="A40" s="11"/>
      <c r="B40" s="28" t="s">
        <v>294</v>
      </c>
      <c r="C40" s="28"/>
      <c r="D40" s="34">
        <f>+D36-D38</f>
        <v>-2236.73</v>
      </c>
      <c r="E40" s="15"/>
      <c r="F40" s="32">
        <f>IF(D$12=0,0,D40/D$12)</f>
        <v>-4.5331158039803814</v>
      </c>
      <c r="G40" s="15"/>
      <c r="H40" s="34">
        <f>+H36-H38</f>
        <v>-1001</v>
      </c>
      <c r="I40" s="15"/>
      <c r="J40" s="32">
        <f>IF(H$12=0,0,H40/H$12)</f>
        <v>0</v>
      </c>
      <c r="K40" s="16"/>
      <c r="L40" s="34">
        <f>D40-H40</f>
        <v>-1235.73</v>
      </c>
      <c r="M40" s="16"/>
      <c r="N40" s="32">
        <f>IF(H40=0,0,L40/H40)</f>
        <v>1.2344955044955046</v>
      </c>
      <c r="O40" s="27"/>
      <c r="P40" s="34">
        <f>+P36-P38</f>
        <v>-12982.289999999999</v>
      </c>
      <c r="Q40" s="15"/>
      <c r="R40" s="32">
        <f>IF(P$12=0,0,P40/P$12)</f>
        <v>-0.52463744571687665</v>
      </c>
      <c r="S40" s="15"/>
      <c r="T40" s="34">
        <f>+T36-T38</f>
        <v>-11011</v>
      </c>
      <c r="U40" s="15"/>
      <c r="V40" s="32">
        <f>IF(T$12=0,0,T40/T$12)</f>
        <v>0</v>
      </c>
      <c r="W40" s="16"/>
      <c r="X40" s="34">
        <f>P40-T40</f>
        <v>-1971.2899999999991</v>
      </c>
      <c r="Y40" s="16"/>
      <c r="Z40" s="32">
        <f>IF(T40=0,0,X40/T40)</f>
        <v>0.17902915266551622</v>
      </c>
    </row>
    <row r="41" spans="1:26" ht="15" customHeight="1" x14ac:dyDescent="0.25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ht="15" customHeight="1" x14ac:dyDescent="0.25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s="63" customFormat="1" ht="15" customHeight="1" x14ac:dyDescent="0.25">
      <c r="A43" s="11"/>
      <c r="B43" s="28" t="s">
        <v>297</v>
      </c>
      <c r="C43" s="28"/>
      <c r="D43" s="30">
        <f>SUM(D40:D42)</f>
        <v>-2236.73</v>
      </c>
      <c r="E43" s="15"/>
      <c r="F43" s="33">
        <f>IF(D$12=0,0,D43/D$12)</f>
        <v>-4.5331158039803814</v>
      </c>
      <c r="G43" s="15"/>
      <c r="H43" s="30">
        <f>SUM(H40:H42)</f>
        <v>-1001</v>
      </c>
      <c r="I43" s="15"/>
      <c r="J43" s="33">
        <f>IF(H$12=0,0,H43/H$12)</f>
        <v>0</v>
      </c>
      <c r="K43" s="16"/>
      <c r="L43" s="30">
        <f>+D43-H43</f>
        <v>-1235.73</v>
      </c>
      <c r="M43" s="16"/>
      <c r="N43" s="33">
        <f>IF(H43=0,0,L43/H43)</f>
        <v>1.2344955044955046</v>
      </c>
      <c r="O43" s="27"/>
      <c r="P43" s="30">
        <f>SUM(P40:P42)</f>
        <v>-12982.289999999999</v>
      </c>
      <c r="Q43" s="15"/>
      <c r="R43" s="33">
        <f>IF(P$12=0,0,P43/P$12)</f>
        <v>-0.52463744571687665</v>
      </c>
      <c r="S43" s="15"/>
      <c r="T43" s="30">
        <f>SUM(T40:T42)</f>
        <v>-11011</v>
      </c>
      <c r="U43" s="15"/>
      <c r="V43" s="33">
        <f>IF(T$12=0,0,T43/T$12)</f>
        <v>0</v>
      </c>
      <c r="W43" s="16"/>
      <c r="X43" s="30">
        <f>+P43-T43</f>
        <v>-1971.2899999999991</v>
      </c>
      <c r="Y43" s="16"/>
      <c r="Z43" s="33">
        <f>IF(T43=0,0,X43/T43)</f>
        <v>0.17902915266551622</v>
      </c>
    </row>
    <row r="44" spans="1:26" ht="15" customHeight="1" x14ac:dyDescent="0.25">
      <c r="A44" s="10"/>
      <c r="C44" s="10"/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  <row r="45" spans="1:26" ht="15" customHeight="1" x14ac:dyDescent="0.25">
      <c r="A45" s="10"/>
      <c r="B45" s="54">
        <v>44727.874527581022</v>
      </c>
      <c r="D45" s="18"/>
      <c r="E45" s="18"/>
      <c r="G45" s="18"/>
      <c r="H45" s="18"/>
      <c r="I45" s="18"/>
      <c r="J45" s="40"/>
      <c r="K45" s="18"/>
      <c r="L45" s="18"/>
      <c r="M45" s="18"/>
      <c r="P45" s="18"/>
      <c r="Q45" s="18"/>
      <c r="R45" s="40"/>
      <c r="S45" s="18"/>
      <c r="T45" s="18"/>
      <c r="U45" s="18"/>
      <c r="V45" s="40"/>
      <c r="W45" s="18"/>
      <c r="X45" s="18"/>
    </row>
    <row r="46" spans="1:26" ht="15" customHeight="1" x14ac:dyDescent="0.25">
      <c r="A46" s="10"/>
      <c r="B46" s="50" t="s">
        <v>298</v>
      </c>
      <c r="D46" s="18"/>
      <c r="E46" s="18"/>
      <c r="G46" s="18"/>
      <c r="H46" s="18"/>
      <c r="I46" s="18"/>
      <c r="J46" s="40"/>
      <c r="K46" s="18"/>
      <c r="L46" s="18"/>
      <c r="M46" s="18"/>
      <c r="P46" s="18"/>
      <c r="Q46" s="18"/>
      <c r="R46" s="40"/>
      <c r="S46" s="18"/>
      <c r="T46" s="18"/>
      <c r="U46" s="18"/>
      <c r="V46" s="40"/>
      <c r="W46" s="18"/>
      <c r="X46" s="18"/>
    </row>
    <row r="47" spans="1:26" ht="15" customHeight="1" x14ac:dyDescent="0.25">
      <c r="A47" s="10"/>
      <c r="B47" s="58"/>
      <c r="D47" s="18"/>
      <c r="E47" s="18"/>
      <c r="G47" s="18"/>
      <c r="H47" s="18"/>
      <c r="I47" s="18"/>
      <c r="J47" s="40"/>
      <c r="K47" s="18"/>
      <c r="L47" s="18"/>
      <c r="M47" s="18"/>
      <c r="P47" s="18"/>
      <c r="Q47" s="18"/>
      <c r="R47" s="40"/>
      <c r="S47" s="18"/>
      <c r="T47" s="18"/>
      <c r="U47" s="18"/>
      <c r="V47" s="40"/>
      <c r="W47" s="18"/>
      <c r="X47" s="18"/>
    </row>
    <row r="48" spans="1:26" ht="15" customHeight="1" x14ac:dyDescent="0.25">
      <c r="D48" s="18"/>
      <c r="E48" s="18"/>
      <c r="G48" s="18"/>
      <c r="H48" s="18"/>
      <c r="I48" s="18"/>
      <c r="J48" s="40"/>
      <c r="K48" s="18"/>
      <c r="L48" s="18"/>
      <c r="M48" s="18"/>
      <c r="P48" s="18"/>
      <c r="Q48" s="18"/>
      <c r="R48" s="40"/>
      <c r="S48" s="18"/>
      <c r="T48" s="18"/>
      <c r="U48" s="18"/>
      <c r="V48" s="40"/>
      <c r="W48" s="18"/>
      <c r="X4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EF0AAA-5204-993C-15FE-70401C2EA4AA}">
  <sheetPr>
    <tabColor rgb="FFFFFF0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313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689495.4</v>
      </c>
      <c r="E12" s="5"/>
      <c r="F12" s="13"/>
      <c r="G12" s="5"/>
      <c r="H12" s="5">
        <f>SUM(OSRRefH13x_0)</f>
        <v>604800</v>
      </c>
      <c r="I12" s="5"/>
      <c r="J12" s="13"/>
      <c r="K12" s="5"/>
      <c r="L12" s="5">
        <f t="shared" ref="L12:L18" si="0">+D12-H12</f>
        <v>84695.400000000023</v>
      </c>
      <c r="M12" s="5"/>
      <c r="N12" s="13">
        <f t="shared" ref="N12:N18" si="1">IF(H12=0,0,L12/H12)</f>
        <v>0.14003869047619052</v>
      </c>
      <c r="O12" s="11"/>
      <c r="P12" s="5">
        <f>SUM(OSRRefP13x_0)</f>
        <v>11615542.800000001</v>
      </c>
      <c r="Q12" s="5"/>
      <c r="R12" s="13"/>
      <c r="S12" s="5"/>
      <c r="T12" s="5">
        <f>SUM(OSRRefT13x_0)</f>
        <v>8870400</v>
      </c>
      <c r="U12" s="5"/>
      <c r="V12" s="13"/>
      <c r="W12" s="5"/>
      <c r="X12" s="5">
        <f t="shared" ref="X12:X18" si="2">+P12-T12</f>
        <v>2745142.8000000007</v>
      </c>
      <c r="Y12" s="5"/>
      <c r="Z12" s="13">
        <f t="shared" ref="Z12:Z18" si="3">IF(T12=0,0,X12/T12)</f>
        <v>0.3094722673160174</v>
      </c>
    </row>
    <row r="13" spans="1:26" s="70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--295.61</f>
        <v>295.61</v>
      </c>
      <c r="E13" s="3"/>
      <c r="F13" s="20"/>
      <c r="G13" s="3"/>
      <c r="H13" s="3"/>
      <c r="I13" s="3"/>
      <c r="J13" s="20"/>
      <c r="K13" s="3"/>
      <c r="L13" s="3">
        <f t="shared" si="0"/>
        <v>295.61</v>
      </c>
      <c r="M13" s="3"/>
      <c r="N13" s="20">
        <f t="shared" si="1"/>
        <v>0</v>
      </c>
      <c r="O13" s="12"/>
      <c r="P13" s="3">
        <f>--4616.72</f>
        <v>4616.72</v>
      </c>
      <c r="Q13" s="3"/>
      <c r="R13" s="20"/>
      <c r="S13" s="3"/>
      <c r="T13" s="3"/>
      <c r="U13" s="3"/>
      <c r="V13" s="20"/>
      <c r="W13" s="3"/>
      <c r="X13" s="3">
        <f t="shared" si="2"/>
        <v>4616.72</v>
      </c>
      <c r="Y13" s="3"/>
      <c r="Z13" s="20">
        <f t="shared" si="3"/>
        <v>0</v>
      </c>
    </row>
    <row r="14" spans="1:26" s="70" customFormat="1" ht="15" hidden="1" customHeight="1" outlineLevel="1" x14ac:dyDescent="0.25">
      <c r="A14" s="42"/>
      <c r="B14" s="12" t="str">
        <f>CONCATENATE("          ","4055"," - ","TAXABLE SALES-FOOD")</f>
        <v xml:space="preserve">          4055 - TAXABLE SALES-FOOD</v>
      </c>
      <c r="C14" s="12"/>
      <c r="D14" s="3">
        <f>--514.53</f>
        <v>514.53</v>
      </c>
      <c r="E14" s="3"/>
      <c r="F14" s="20"/>
      <c r="G14" s="3"/>
      <c r="H14" s="3"/>
      <c r="I14" s="3"/>
      <c r="J14" s="20"/>
      <c r="K14" s="3"/>
      <c r="L14" s="3">
        <f t="shared" si="0"/>
        <v>514.53</v>
      </c>
      <c r="M14" s="3"/>
      <c r="N14" s="20">
        <f t="shared" si="1"/>
        <v>0</v>
      </c>
      <c r="O14" s="12"/>
      <c r="P14" s="3">
        <f>--2070.63</f>
        <v>2070.63</v>
      </c>
      <c r="Q14" s="3"/>
      <c r="R14" s="20"/>
      <c r="S14" s="3"/>
      <c r="T14" s="3"/>
      <c r="U14" s="3"/>
      <c r="V14" s="20"/>
      <c r="W14" s="3"/>
      <c r="X14" s="3">
        <f t="shared" si="2"/>
        <v>2070.63</v>
      </c>
      <c r="Y14" s="3"/>
      <c r="Z14" s="20">
        <f t="shared" si="3"/>
        <v>0</v>
      </c>
    </row>
    <row r="15" spans="1:26" s="70" customFormat="1" ht="15" hidden="1" customHeight="1" outlineLevel="1" x14ac:dyDescent="0.25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604800</v>
      </c>
      <c r="I15" s="3"/>
      <c r="J15" s="20"/>
      <c r="K15" s="3"/>
      <c r="L15" s="3">
        <f t="shared" si="0"/>
        <v>-604800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v>8870400</v>
      </c>
      <c r="U15" s="3"/>
      <c r="V15" s="20"/>
      <c r="W15" s="3"/>
      <c r="X15" s="3">
        <f t="shared" si="2"/>
        <v>-8870400</v>
      </c>
      <c r="Y15" s="3"/>
      <c r="Z15" s="20">
        <f t="shared" si="3"/>
        <v>-1</v>
      </c>
    </row>
    <row r="16" spans="1:26" s="70" customFormat="1" ht="15" hidden="1" customHeight="1" outlineLevel="1" x14ac:dyDescent="0.25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--681732.75</f>
        <v>681732.75</v>
      </c>
      <c r="E16" s="3"/>
      <c r="F16" s="20"/>
      <c r="G16" s="3"/>
      <c r="H16" s="3"/>
      <c r="I16" s="3"/>
      <c r="J16" s="20"/>
      <c r="K16" s="3"/>
      <c r="L16" s="3">
        <f t="shared" si="0"/>
        <v>681732.75</v>
      </c>
      <c r="M16" s="3"/>
      <c r="N16" s="20">
        <f t="shared" si="1"/>
        <v>0</v>
      </c>
      <c r="O16" s="12"/>
      <c r="P16" s="3">
        <f>--11486057.05</f>
        <v>11486057.050000001</v>
      </c>
      <c r="Q16" s="3"/>
      <c r="R16" s="20"/>
      <c r="S16" s="3"/>
      <c r="T16" s="3"/>
      <c r="U16" s="3"/>
      <c r="V16" s="20"/>
      <c r="W16" s="3"/>
      <c r="X16" s="3">
        <f t="shared" si="2"/>
        <v>11486057.050000001</v>
      </c>
      <c r="Y16" s="3"/>
      <c r="Z16" s="20">
        <f t="shared" si="3"/>
        <v>0</v>
      </c>
    </row>
    <row r="17" spans="1:26" s="70" customFormat="1" ht="15" hidden="1" customHeight="1" outlineLevel="1" x14ac:dyDescent="0.25">
      <c r="A17" s="42"/>
      <c r="B17" s="12" t="str">
        <f>CONCATENATE("          ","4153"," - ","NON-TAXABLE SALES-FOOD")</f>
        <v xml:space="preserve">          4153 - NON-TAXABLE SALES-FOOD</v>
      </c>
      <c r="C17" s="12"/>
      <c r="D17" s="3">
        <f>--6068.42</f>
        <v>6068.42</v>
      </c>
      <c r="E17" s="3"/>
      <c r="F17" s="20"/>
      <c r="G17" s="3"/>
      <c r="H17" s="3"/>
      <c r="I17" s="3"/>
      <c r="J17" s="20"/>
      <c r="K17" s="3"/>
      <c r="L17" s="3">
        <f t="shared" si="0"/>
        <v>6068.42</v>
      </c>
      <c r="M17" s="3"/>
      <c r="N17" s="20">
        <f t="shared" si="1"/>
        <v>0</v>
      </c>
      <c r="O17" s="12"/>
      <c r="P17" s="3">
        <f>--118114.99</f>
        <v>118114.99</v>
      </c>
      <c r="Q17" s="3"/>
      <c r="R17" s="20"/>
      <c r="S17" s="3"/>
      <c r="T17" s="3"/>
      <c r="U17" s="3"/>
      <c r="V17" s="20"/>
      <c r="W17" s="3"/>
      <c r="X17" s="3">
        <f t="shared" si="2"/>
        <v>118114.99</v>
      </c>
      <c r="Y17" s="3"/>
      <c r="Z17" s="20">
        <f t="shared" si="3"/>
        <v>0</v>
      </c>
    </row>
    <row r="18" spans="1:26" s="70" customFormat="1" ht="15" hidden="1" customHeight="1" outlineLevel="1" x14ac:dyDescent="0.25">
      <c r="A18" s="42"/>
      <c r="B18" s="12" t="str">
        <f>CONCATENATE("          ","4155"," - ","NON-TAXABLE SALES-FOOD")</f>
        <v xml:space="preserve">          4155 - NON-TAXABLE SALES-FOOD</v>
      </c>
      <c r="C18" s="12"/>
      <c r="D18" s="3">
        <f>--884.09</f>
        <v>884.09</v>
      </c>
      <c r="E18" s="3"/>
      <c r="F18" s="20"/>
      <c r="G18" s="3"/>
      <c r="H18" s="3"/>
      <c r="I18" s="3"/>
      <c r="J18" s="20"/>
      <c r="K18" s="3"/>
      <c r="L18" s="3">
        <f t="shared" si="0"/>
        <v>884.09</v>
      </c>
      <c r="M18" s="3"/>
      <c r="N18" s="20">
        <f t="shared" si="1"/>
        <v>0</v>
      </c>
      <c r="O18" s="12"/>
      <c r="P18" s="3">
        <f>--4683.41</f>
        <v>4683.41</v>
      </c>
      <c r="Q18" s="3"/>
      <c r="R18" s="20"/>
      <c r="S18" s="3"/>
      <c r="T18" s="3"/>
      <c r="U18" s="3"/>
      <c r="V18" s="20"/>
      <c r="W18" s="3"/>
      <c r="X18" s="3">
        <f t="shared" si="2"/>
        <v>4683.41</v>
      </c>
      <c r="Y18" s="3"/>
      <c r="Z18" s="20">
        <f t="shared" si="3"/>
        <v>0</v>
      </c>
    </row>
    <row r="19" spans="1:26" ht="15" customHeight="1" x14ac:dyDescent="0.25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25">
      <c r="A20" s="11"/>
      <c r="B20" s="27" t="s">
        <v>288</v>
      </c>
      <c r="C20" s="11"/>
      <c r="D20" s="5">
        <f>SUM(OSRRefD16x_0)</f>
        <v>174203.04</v>
      </c>
      <c r="E20" s="5"/>
      <c r="F20" s="13">
        <f>IF(D$12=0,0,D20/D$12)</f>
        <v>0.25265294010663453</v>
      </c>
      <c r="G20" s="5"/>
      <c r="H20" s="5">
        <f>SUM(OSRRefH16x_0)</f>
        <v>172611</v>
      </c>
      <c r="I20" s="5"/>
      <c r="J20" s="13">
        <f>IF(H$12=0,0,H20/H$12)</f>
        <v>0.28540178571428571</v>
      </c>
      <c r="K20" s="5"/>
      <c r="L20" s="5">
        <f>+D20-H20</f>
        <v>1592.0400000000081</v>
      </c>
      <c r="M20" s="5"/>
      <c r="N20" s="13">
        <f>IF(H20=0,0,L20/H20)</f>
        <v>9.2232824095799699E-3</v>
      </c>
      <c r="O20" s="11"/>
      <c r="P20" s="5">
        <f>SUM(OSRRefP16x_0)</f>
        <v>2760866.4</v>
      </c>
      <c r="Q20" s="5"/>
      <c r="R20" s="13">
        <f>IF(P$12=0,0,P20/P$12)</f>
        <v>0.23768724781419598</v>
      </c>
      <c r="S20" s="5"/>
      <c r="T20" s="5">
        <f>SUM(OSRRefT16x_0)</f>
        <v>2463898</v>
      </c>
      <c r="U20" s="5"/>
      <c r="V20" s="13">
        <f>IF(T$12=0,0,T20/T$12)</f>
        <v>0.27776627886002886</v>
      </c>
      <c r="W20" s="5"/>
      <c r="X20" s="5">
        <f>+P20-T20</f>
        <v>296968.39999999991</v>
      </c>
      <c r="Y20" s="5"/>
      <c r="Z20" s="13">
        <f>IF(T20=0,0,X20/T20)</f>
        <v>0.12052787899499083</v>
      </c>
    </row>
    <row r="21" spans="1:26" s="70" customFormat="1" ht="15" hidden="1" customHeight="1" outlineLevel="1" x14ac:dyDescent="0.25">
      <c r="A21" s="42"/>
      <c r="B21" s="12" t="str">
        <f>CONCATENATE("          ","5000"," - ","PURCHASES @ COST")</f>
        <v xml:space="preserve">          5000 - PURCHASES @ COST</v>
      </c>
      <c r="C21" s="12"/>
      <c r="D21" s="3"/>
      <c r="E21" s="3"/>
      <c r="F21" s="20">
        <f>IF(D$12=0,0,D21/D$12)</f>
        <v>0</v>
      </c>
      <c r="G21" s="3"/>
      <c r="H21" s="3">
        <v>172611</v>
      </c>
      <c r="I21" s="3"/>
      <c r="J21" s="20">
        <f>IF(H$12=0,0,H21/H$12)</f>
        <v>0.28540178571428571</v>
      </c>
      <c r="K21" s="3"/>
      <c r="L21" s="3">
        <f>+D21-H21</f>
        <v>-172611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2463898</v>
      </c>
      <c r="U21" s="3"/>
      <c r="V21" s="20">
        <f>IF(T$12=0,0,T21/T$12)</f>
        <v>0.27776627886002886</v>
      </c>
      <c r="W21" s="3"/>
      <c r="X21" s="3">
        <f>+P21-T21</f>
        <v>-2463898</v>
      </c>
      <c r="Y21" s="3"/>
      <c r="Z21" s="20">
        <f>IF(T21=0,0,X21/T21)</f>
        <v>-1</v>
      </c>
    </row>
    <row r="22" spans="1:26" s="70" customFormat="1" ht="15" hidden="1" customHeight="1" outlineLevel="1" x14ac:dyDescent="0.25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152349.84</v>
      </c>
      <c r="E22" s="3"/>
      <c r="F22" s="20">
        <f>IF(D$12=0,0,D22/D$12)</f>
        <v>0.22095845744583648</v>
      </c>
      <c r="G22" s="3"/>
      <c r="H22" s="3"/>
      <c r="I22" s="3"/>
      <c r="J22" s="20">
        <f>IF(H$12=0,0,H22/H$12)</f>
        <v>0</v>
      </c>
      <c r="K22" s="3"/>
      <c r="L22" s="3">
        <f>+D22-H22</f>
        <v>152349.84</v>
      </c>
      <c r="M22" s="3"/>
      <c r="N22" s="20">
        <f>IF(H22=0,0,L22/H22)</f>
        <v>0</v>
      </c>
      <c r="O22" s="12"/>
      <c r="P22" s="3">
        <v>2779200.26</v>
      </c>
      <c r="Q22" s="3"/>
      <c r="R22" s="20">
        <f>IF(P$12=0,0,P22/P$12)</f>
        <v>0.23926563810689927</v>
      </c>
      <c r="S22" s="3"/>
      <c r="T22" s="3"/>
      <c r="U22" s="3"/>
      <c r="V22" s="20">
        <f>IF(T$12=0,0,T22/T$12)</f>
        <v>0</v>
      </c>
      <c r="W22" s="3"/>
      <c r="X22" s="3">
        <f>+P22-T22</f>
        <v>2779200.26</v>
      </c>
      <c r="Y22" s="3"/>
      <c r="Z22" s="20">
        <f>IF(T22=0,0,X22/T22)</f>
        <v>0</v>
      </c>
    </row>
    <row r="23" spans="1:26" s="70" customFormat="1" ht="15" hidden="1" customHeight="1" outlineLevel="1" x14ac:dyDescent="0.25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21853.200000000001</v>
      </c>
      <c r="E23" s="3"/>
      <c r="F23" s="20">
        <f>IF(D$12=0,0,D23/D$12)</f>
        <v>3.169448266079803E-2</v>
      </c>
      <c r="G23" s="3"/>
      <c r="H23" s="3"/>
      <c r="I23" s="3"/>
      <c r="J23" s="20">
        <f>IF(H$12=0,0,H23/H$12)</f>
        <v>0</v>
      </c>
      <c r="K23" s="3"/>
      <c r="L23" s="3">
        <f>+D23-H23</f>
        <v>21853.200000000001</v>
      </c>
      <c r="M23" s="3"/>
      <c r="N23" s="20">
        <f>IF(H23=0,0,L23/H23)</f>
        <v>0</v>
      </c>
      <c r="O23" s="12"/>
      <c r="P23" s="3">
        <v>-18333.86</v>
      </c>
      <c r="Q23" s="3"/>
      <c r="R23" s="20">
        <f>IF(P$12=0,0,P23/P$12)</f>
        <v>-1.5783902927033249E-3</v>
      </c>
      <c r="S23" s="3"/>
      <c r="T23" s="3"/>
      <c r="U23" s="3"/>
      <c r="V23" s="20">
        <f>IF(T$12=0,0,T23/T$12)</f>
        <v>0</v>
      </c>
      <c r="W23" s="3"/>
      <c r="X23" s="3">
        <f>+P23-T23</f>
        <v>-18333.86</v>
      </c>
      <c r="Y23" s="3"/>
      <c r="Z23" s="20">
        <f>IF(T23=0,0,X23/T23)</f>
        <v>0</v>
      </c>
    </row>
    <row r="24" spans="1:26" ht="15" customHeight="1" x14ac:dyDescent="0.25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25">
      <c r="A25" s="11"/>
      <c r="B25" s="28" t="s">
        <v>289</v>
      </c>
      <c r="C25" s="28"/>
      <c r="D25" s="22">
        <f>D12-D20</f>
        <v>515292.36</v>
      </c>
      <c r="E25" s="15"/>
      <c r="F25" s="21">
        <f>IF(D$12=0,0,D25/D$12)</f>
        <v>0.74734705989336547</v>
      </c>
      <c r="G25" s="15"/>
      <c r="H25" s="22">
        <f>H12-H20</f>
        <v>432189</v>
      </c>
      <c r="I25" s="15"/>
      <c r="J25" s="21">
        <f>IF(H$12=0,0,H25/H$12)</f>
        <v>0.71459821428571424</v>
      </c>
      <c r="K25" s="16"/>
      <c r="L25" s="22">
        <f>+D25-H25</f>
        <v>83103.359999999986</v>
      </c>
      <c r="M25" s="16"/>
      <c r="N25" s="21">
        <f>IF(H25=0,0,L25/H25)</f>
        <v>0.19228476430450564</v>
      </c>
      <c r="O25" s="27"/>
      <c r="P25" s="22">
        <f>P12-P20</f>
        <v>8854676.4000000004</v>
      </c>
      <c r="Q25" s="15"/>
      <c r="R25" s="21">
        <f>IF(P$12=0,0,P25/P$12)</f>
        <v>0.76231275218580397</v>
      </c>
      <c r="S25" s="15"/>
      <c r="T25" s="22">
        <f>T12-T20</f>
        <v>6406502</v>
      </c>
      <c r="U25" s="15"/>
      <c r="V25" s="21">
        <f>IF(T$12=0,0,T25/T$12)</f>
        <v>0.72223372113997109</v>
      </c>
      <c r="W25" s="16"/>
      <c r="X25" s="22">
        <f>+P25-T25</f>
        <v>2448174.4000000004</v>
      </c>
      <c r="Y25" s="16"/>
      <c r="Z25" s="21">
        <f>IF(T25=0,0,X25/T25)</f>
        <v>0.38213902063871991</v>
      </c>
    </row>
    <row r="26" spans="1:26" ht="15" customHeight="1" x14ac:dyDescent="0.25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25">
      <c r="A27" s="11"/>
      <c r="B27" s="27" t="s">
        <v>290</v>
      </c>
      <c r="C27" s="11"/>
      <c r="D27" s="23" cm="1">
        <f t="array" ref="D27">SUM(OSRRefD22x_0)</f>
        <v>378012.2900000001</v>
      </c>
      <c r="E27" s="23"/>
      <c r="F27" s="31">
        <f t="shared" ref="F27:F58" si="4">IF(D$12=0,0,D27/D$12)</f>
        <v>0.54824483238031763</v>
      </c>
      <c r="G27" s="23"/>
      <c r="H27" s="23" cm="1">
        <f t="array" ref="H27">SUM(OSRRefH22x_0)</f>
        <v>432654.93823726603</v>
      </c>
      <c r="I27" s="23"/>
      <c r="J27" s="31">
        <f t="shared" ref="J27:J58" si="5">IF(H$12=0,0,H27/H$12)</f>
        <v>0.71536861481029435</v>
      </c>
      <c r="K27" s="5"/>
      <c r="L27" s="23">
        <f t="shared" ref="L27:L58" si="6">+D27-H27</f>
        <v>-54642.648237265937</v>
      </c>
      <c r="M27" s="5"/>
      <c r="N27" s="31">
        <f t="shared" ref="N27:N58" si="7">IF(H27=0,0,L27/H27)</f>
        <v>-0.12629613904302683</v>
      </c>
      <c r="O27" s="11"/>
      <c r="P27" s="23" cm="1">
        <f t="array" ref="P27">SUM(OSRRefP22x_0)</f>
        <v>5138401.6899999976</v>
      </c>
      <c r="Q27" s="23"/>
      <c r="R27" s="31">
        <f t="shared" ref="R27:R58" si="8">IF(P$12=0,0,P27/P$12)</f>
        <v>0.44237292896893265</v>
      </c>
      <c r="S27" s="23"/>
      <c r="T27" s="23" cm="1">
        <f t="array" ref="T27">SUM(OSRRefT22x_0)</f>
        <v>5666207.4019178934</v>
      </c>
      <c r="U27" s="23"/>
      <c r="V27" s="31">
        <f t="shared" ref="V27:V58" si="9">IF(T$12=0,0,T27/T$12)</f>
        <v>0.63877698885257639</v>
      </c>
      <c r="W27" s="5"/>
      <c r="X27" s="23">
        <f t="shared" ref="X27:X58" si="10">+P27-T27</f>
        <v>-527805.71191789582</v>
      </c>
      <c r="Y27" s="5"/>
      <c r="Z27" s="31">
        <f t="shared" ref="Z27:Z58" si="11">IF(T27=0,0,X27/T27)</f>
        <v>-9.3149733936538318E-2</v>
      </c>
    </row>
    <row r="28" spans="1:26" s="69" customFormat="1" ht="15" customHeight="1" outlineLevel="1" collapsed="1" x14ac:dyDescent="0.25">
      <c r="A28" s="26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87318.66</v>
      </c>
      <c r="E28" s="2"/>
      <c r="F28" s="6">
        <f t="shared" si="4"/>
        <v>0.12664139601221416</v>
      </c>
      <c r="G28" s="2"/>
      <c r="H28" s="2">
        <f>SUM(OSRRefH22_0x_0)</f>
        <v>102294.70128341994</v>
      </c>
      <c r="I28" s="2"/>
      <c r="J28" s="6">
        <f t="shared" si="5"/>
        <v>0.16913806429136896</v>
      </c>
      <c r="K28" s="2"/>
      <c r="L28" s="2">
        <f t="shared" si="6"/>
        <v>-14976.041283419938</v>
      </c>
      <c r="M28" s="2"/>
      <c r="N28" s="6">
        <f t="shared" si="7"/>
        <v>-0.14640094839249776</v>
      </c>
      <c r="O28" s="14"/>
      <c r="P28" s="2">
        <f>SUM(OSRRefP22_0x_0)</f>
        <v>959266.1</v>
      </c>
      <c r="Q28" s="2"/>
      <c r="R28" s="6">
        <f t="shared" si="8"/>
        <v>8.2584698495536513E-2</v>
      </c>
      <c r="S28" s="2"/>
      <c r="T28" s="2">
        <f>SUM(OSRRefT22_0x_0)</f>
        <v>1245362.64097174</v>
      </c>
      <c r="U28" s="2"/>
      <c r="V28" s="6">
        <f t="shared" si="9"/>
        <v>0.14039531937361788</v>
      </c>
      <c r="W28" s="2"/>
      <c r="X28" s="2">
        <f t="shared" si="10"/>
        <v>-286096.54097174003</v>
      </c>
      <c r="Y28" s="2"/>
      <c r="Z28" s="6">
        <f t="shared" si="11"/>
        <v>-0.22972950332643885</v>
      </c>
    </row>
    <row r="29" spans="1:26" s="70" customFormat="1" ht="15" hidden="1" customHeight="1" outlineLevel="2" x14ac:dyDescent="0.25">
      <c r="A29" s="25"/>
      <c r="B29" s="12" t="str">
        <f>CONCATENATE("          ","6111"," - ","F.I.C.A.")</f>
        <v xml:space="preserve">          6111 - F.I.C.A.</v>
      </c>
      <c r="C29" s="12"/>
      <c r="D29" s="8">
        <v>10858.49</v>
      </c>
      <c r="E29" s="3"/>
      <c r="F29" s="7">
        <f t="shared" si="4"/>
        <v>1.5748458945483899E-2</v>
      </c>
      <c r="G29" s="3"/>
      <c r="H29" s="8">
        <v>10848.5830418815</v>
      </c>
      <c r="I29" s="3"/>
      <c r="J29" s="7">
        <f t="shared" si="5"/>
        <v>1.7937471960782905E-2</v>
      </c>
      <c r="K29" s="3"/>
      <c r="L29" s="8">
        <f t="shared" si="6"/>
        <v>9.9069581184994604</v>
      </c>
      <c r="M29" s="3"/>
      <c r="N29" s="7">
        <f t="shared" si="7"/>
        <v>9.1320295749713583E-4</v>
      </c>
      <c r="O29" s="12"/>
      <c r="P29" s="8">
        <v>134770.31</v>
      </c>
      <c r="Q29" s="3"/>
      <c r="R29" s="7">
        <f t="shared" si="8"/>
        <v>1.160258391024137E-2</v>
      </c>
      <c r="S29" s="3"/>
      <c r="T29" s="8">
        <v>140063.26363327799</v>
      </c>
      <c r="U29" s="3"/>
      <c r="V29" s="7">
        <f t="shared" si="9"/>
        <v>1.5789960276118099E-2</v>
      </c>
      <c r="W29" s="3"/>
      <c r="X29" s="8">
        <f t="shared" si="10"/>
        <v>-5292.9536332779971</v>
      </c>
      <c r="Y29" s="3"/>
      <c r="Z29" s="7">
        <f t="shared" si="11"/>
        <v>-3.778973512381037E-2</v>
      </c>
    </row>
    <row r="30" spans="1:26" s="70" customFormat="1" ht="15" hidden="1" customHeight="1" outlineLevel="2" x14ac:dyDescent="0.25">
      <c r="A30" s="25"/>
      <c r="B30" s="12" t="str">
        <f>CONCATENATE("          ","6112"," - ","COMPENSATION INSURANCE")</f>
        <v xml:space="preserve">          6112 - COMPENSATION INSURANCE</v>
      </c>
      <c r="C30" s="12"/>
      <c r="D30" s="8">
        <v>11994.37</v>
      </c>
      <c r="E30" s="3"/>
      <c r="F30" s="7">
        <f t="shared" si="4"/>
        <v>1.7395866600415318E-2</v>
      </c>
      <c r="G30" s="3"/>
      <c r="H30" s="8">
        <v>8361.3294382923104</v>
      </c>
      <c r="I30" s="3"/>
      <c r="J30" s="7">
        <f t="shared" si="5"/>
        <v>1.3824949468075911E-2</v>
      </c>
      <c r="K30" s="3"/>
      <c r="L30" s="8">
        <f t="shared" si="6"/>
        <v>3633.0405617076904</v>
      </c>
      <c r="M30" s="3"/>
      <c r="N30" s="7">
        <f t="shared" si="7"/>
        <v>0.43450513324705098</v>
      </c>
      <c r="O30" s="12"/>
      <c r="P30" s="8">
        <v>89299.62</v>
      </c>
      <c r="Q30" s="3"/>
      <c r="R30" s="7">
        <f t="shared" si="8"/>
        <v>7.6879420563970534E-3</v>
      </c>
      <c r="S30" s="3"/>
      <c r="T30" s="8">
        <v>114542.021250508</v>
      </c>
      <c r="U30" s="3"/>
      <c r="V30" s="7">
        <f t="shared" si="9"/>
        <v>1.2912836089748827E-2</v>
      </c>
      <c r="W30" s="3"/>
      <c r="X30" s="8">
        <f t="shared" si="10"/>
        <v>-25242.401250508003</v>
      </c>
      <c r="Y30" s="3"/>
      <c r="Z30" s="7">
        <f t="shared" si="11"/>
        <v>-0.22037677504661679</v>
      </c>
    </row>
    <row r="31" spans="1:26" s="70" customFormat="1" ht="15" hidden="1" customHeight="1" outlineLevel="2" x14ac:dyDescent="0.25">
      <c r="A31" s="25"/>
      <c r="B31" s="12" t="str">
        <f>CONCATENATE("          ","6113"," - ","GROUP INSURANCE")</f>
        <v xml:space="preserve">          6113 - GROUP INSURANCE</v>
      </c>
      <c r="C31" s="12"/>
      <c r="D31" s="8">
        <v>42149.23</v>
      </c>
      <c r="E31" s="3"/>
      <c r="F31" s="7">
        <f t="shared" si="4"/>
        <v>6.1130545613502285E-2</v>
      </c>
      <c r="G31" s="3"/>
      <c r="H31" s="8">
        <v>61886.692307692298</v>
      </c>
      <c r="I31" s="3"/>
      <c r="J31" s="7">
        <f t="shared" si="5"/>
        <v>0.10232588013838012</v>
      </c>
      <c r="K31" s="3"/>
      <c r="L31" s="8">
        <f t="shared" si="6"/>
        <v>-19737.462307692294</v>
      </c>
      <c r="M31" s="3"/>
      <c r="N31" s="7">
        <f t="shared" si="7"/>
        <v>-0.31892902289171138</v>
      </c>
      <c r="O31" s="12"/>
      <c r="P31" s="8">
        <v>468676.45</v>
      </c>
      <c r="Q31" s="3"/>
      <c r="R31" s="7">
        <f t="shared" si="8"/>
        <v>4.0349078650030887E-2</v>
      </c>
      <c r="S31" s="3"/>
      <c r="T31" s="8">
        <v>728733.30769230798</v>
      </c>
      <c r="U31" s="3"/>
      <c r="V31" s="7">
        <f t="shared" si="9"/>
        <v>8.2153376137751172E-2</v>
      </c>
      <c r="W31" s="3"/>
      <c r="X31" s="8">
        <f t="shared" si="10"/>
        <v>-260056.85769230797</v>
      </c>
      <c r="Y31" s="3"/>
      <c r="Z31" s="7">
        <f t="shared" si="11"/>
        <v>-0.35686149507264103</v>
      </c>
    </row>
    <row r="32" spans="1:26" s="70" customFormat="1" ht="15" hidden="1" customHeight="1" outlineLevel="2" x14ac:dyDescent="0.25">
      <c r="A32" s="25"/>
      <c r="B32" s="12" t="str">
        <f>CONCATENATE("          ","6114"," - ","STATE UNEMPLOYMENT INSURANCE")</f>
        <v xml:space="preserve">          6114 - STATE UNEMPLOYMENT INSURANCE</v>
      </c>
      <c r="C32" s="12"/>
      <c r="D32" s="8">
        <v>866.25</v>
      </c>
      <c r="E32" s="3"/>
      <c r="F32" s="7">
        <f t="shared" si="4"/>
        <v>1.2563535594291128E-3</v>
      </c>
      <c r="G32" s="3"/>
      <c r="H32" s="8">
        <v>463.292660169231</v>
      </c>
      <c r="I32" s="3"/>
      <c r="J32" s="7">
        <f t="shared" si="5"/>
        <v>7.6602622382478667E-4</v>
      </c>
      <c r="K32" s="3"/>
      <c r="L32" s="8">
        <f t="shared" si="6"/>
        <v>402.957339830769</v>
      </c>
      <c r="M32" s="3"/>
      <c r="N32" s="7">
        <f t="shared" si="7"/>
        <v>0.8697684519404586</v>
      </c>
      <c r="O32" s="12"/>
      <c r="P32" s="8">
        <v>6449.37</v>
      </c>
      <c r="Q32" s="3"/>
      <c r="R32" s="7">
        <f t="shared" si="8"/>
        <v>5.5523621332616497E-4</v>
      </c>
      <c r="S32" s="3"/>
      <c r="T32" s="8">
        <v>6346.6555310307704</v>
      </c>
      <c r="U32" s="3"/>
      <c r="V32" s="7">
        <f t="shared" si="9"/>
        <v>7.1548696011800711E-4</v>
      </c>
      <c r="W32" s="3"/>
      <c r="X32" s="8">
        <f t="shared" si="10"/>
        <v>102.71446896922953</v>
      </c>
      <c r="Y32" s="3"/>
      <c r="Z32" s="7">
        <f t="shared" si="11"/>
        <v>1.6184030859564786E-2</v>
      </c>
    </row>
    <row r="33" spans="1:26" s="70" customFormat="1" ht="15" hidden="1" customHeight="1" outlineLevel="2" x14ac:dyDescent="0.25">
      <c r="A33" s="25"/>
      <c r="B33" s="12" t="str">
        <f>CONCATENATE("          ","6115"," - ","P.E.R.S.")</f>
        <v xml:space="preserve">          6115 - P.E.R.S.</v>
      </c>
      <c r="C33" s="12"/>
      <c r="D33" s="8">
        <v>3898.96</v>
      </c>
      <c r="E33" s="3"/>
      <c r="F33" s="7">
        <f t="shared" si="4"/>
        <v>5.6548020479904575E-3</v>
      </c>
      <c r="G33" s="3"/>
      <c r="H33" s="8">
        <v>3855.08832769231</v>
      </c>
      <c r="I33" s="3"/>
      <c r="J33" s="7">
        <f t="shared" si="5"/>
        <v>6.3741539809727349E-3</v>
      </c>
      <c r="K33" s="3"/>
      <c r="L33" s="8">
        <f t="shared" si="6"/>
        <v>43.871672307690005</v>
      </c>
      <c r="M33" s="3"/>
      <c r="N33" s="7">
        <f t="shared" si="7"/>
        <v>1.1380198993767797E-2</v>
      </c>
      <c r="O33" s="12"/>
      <c r="P33" s="8">
        <v>46773.38</v>
      </c>
      <c r="Q33" s="3"/>
      <c r="R33" s="7">
        <f t="shared" si="8"/>
        <v>4.0267924457219502E-3</v>
      </c>
      <c r="S33" s="3"/>
      <c r="T33" s="8">
        <v>46110.8342723077</v>
      </c>
      <c r="U33" s="3"/>
      <c r="V33" s="7">
        <f t="shared" si="9"/>
        <v>5.1982812806984687E-3</v>
      </c>
      <c r="W33" s="3"/>
      <c r="X33" s="8">
        <f t="shared" si="10"/>
        <v>662.54572769229708</v>
      </c>
      <c r="Y33" s="3"/>
      <c r="Z33" s="7">
        <f t="shared" si="11"/>
        <v>1.4368547829337263E-2</v>
      </c>
    </row>
    <row r="34" spans="1:26" s="70" customFormat="1" ht="15" hidden="1" customHeight="1" outlineLevel="2" x14ac:dyDescent="0.25">
      <c r="A34" s="25"/>
      <c r="B34" s="12" t="str">
        <f>CONCATENATE("          ","6116"," - ","EDUCATIONAL BENEFITS")</f>
        <v xml:space="preserve">          6116 - EDUCATIONAL BENEFITS</v>
      </c>
      <c r="C34" s="12"/>
      <c r="D34" s="8"/>
      <c r="E34" s="3"/>
      <c r="F34" s="7">
        <f t="shared" si="4"/>
        <v>0</v>
      </c>
      <c r="G34" s="3"/>
      <c r="H34" s="8">
        <v>0</v>
      </c>
      <c r="I34" s="3"/>
      <c r="J34" s="7">
        <f t="shared" si="5"/>
        <v>0</v>
      </c>
      <c r="K34" s="3"/>
      <c r="L34" s="8">
        <f t="shared" si="6"/>
        <v>0</v>
      </c>
      <c r="M34" s="3"/>
      <c r="N34" s="7">
        <f t="shared" si="7"/>
        <v>0</v>
      </c>
      <c r="O34" s="12"/>
      <c r="P34" s="8"/>
      <c r="Q34" s="3"/>
      <c r="R34" s="7">
        <f t="shared" si="8"/>
        <v>0</v>
      </c>
      <c r="S34" s="3"/>
      <c r="T34" s="8">
        <v>0</v>
      </c>
      <c r="U34" s="3"/>
      <c r="V34" s="7">
        <f t="shared" si="9"/>
        <v>0</v>
      </c>
      <c r="W34" s="3"/>
      <c r="X34" s="8">
        <f t="shared" si="10"/>
        <v>0</v>
      </c>
      <c r="Y34" s="3"/>
      <c r="Z34" s="7">
        <f t="shared" si="11"/>
        <v>0</v>
      </c>
    </row>
    <row r="35" spans="1:26" s="70" customFormat="1" ht="15" hidden="1" customHeight="1" outlineLevel="2" x14ac:dyDescent="0.25">
      <c r="A35" s="25"/>
      <c r="B35" s="12" t="str">
        <f>CONCATENATE("          ","6117"," - ","RETIREMENT STAFF HOURLY")</f>
        <v xml:space="preserve">          6117 - RETIREMENT STAFF HOURLY</v>
      </c>
      <c r="C35" s="12"/>
      <c r="D35" s="8">
        <v>1516.13</v>
      </c>
      <c r="E35" s="3"/>
      <c r="F35" s="7">
        <f t="shared" si="4"/>
        <v>2.1988979186808207E-3</v>
      </c>
      <c r="G35" s="3"/>
      <c r="H35" s="8"/>
      <c r="I35" s="3"/>
      <c r="J35" s="7">
        <f t="shared" si="5"/>
        <v>0</v>
      </c>
      <c r="K35" s="3"/>
      <c r="L35" s="8">
        <f t="shared" si="6"/>
        <v>1516.13</v>
      </c>
      <c r="M35" s="3"/>
      <c r="N35" s="7">
        <f t="shared" si="7"/>
        <v>0</v>
      </c>
      <c r="O35" s="12"/>
      <c r="P35" s="8">
        <v>18398.14</v>
      </c>
      <c r="Q35" s="3"/>
      <c r="R35" s="7">
        <f t="shared" si="8"/>
        <v>1.5839242570738923E-3</v>
      </c>
      <c r="S35" s="3"/>
      <c r="T35" s="8"/>
      <c r="U35" s="3"/>
      <c r="V35" s="7">
        <f t="shared" si="9"/>
        <v>0</v>
      </c>
      <c r="W35" s="3"/>
      <c r="X35" s="8">
        <f t="shared" si="10"/>
        <v>18398.14</v>
      </c>
      <c r="Y35" s="3"/>
      <c r="Z35" s="7">
        <f t="shared" si="11"/>
        <v>0</v>
      </c>
    </row>
    <row r="36" spans="1:26" s="70" customFormat="1" ht="15" hidden="1" customHeight="1" outlineLevel="2" x14ac:dyDescent="0.25">
      <c r="A36" s="25"/>
      <c r="B36" s="12" t="str">
        <f>CONCATENATE("          ","6118"," - ","VACATION")</f>
        <v xml:space="preserve">          6118 - VACATION</v>
      </c>
      <c r="C36" s="12"/>
      <c r="D36" s="8">
        <v>7024.32</v>
      </c>
      <c r="E36" s="3"/>
      <c r="F36" s="7">
        <f t="shared" si="4"/>
        <v>1.0187624166890744E-2</v>
      </c>
      <c r="G36" s="3"/>
      <c r="H36" s="8">
        <v>5681.2654538461502</v>
      </c>
      <c r="I36" s="3"/>
      <c r="J36" s="7">
        <f t="shared" si="5"/>
        <v>9.3936267424704865E-3</v>
      </c>
      <c r="K36" s="3"/>
      <c r="L36" s="8">
        <f t="shared" si="6"/>
        <v>1343.0545461538495</v>
      </c>
      <c r="M36" s="3"/>
      <c r="N36" s="7">
        <f t="shared" si="7"/>
        <v>0.23640059720226897</v>
      </c>
      <c r="O36" s="12"/>
      <c r="P36" s="8">
        <v>88440.45</v>
      </c>
      <c r="Q36" s="3"/>
      <c r="R36" s="7">
        <f t="shared" si="8"/>
        <v>7.6139747855778197E-3</v>
      </c>
      <c r="S36" s="3"/>
      <c r="T36" s="8">
        <v>68122.781146153793</v>
      </c>
      <c r="U36" s="3"/>
      <c r="V36" s="7">
        <f t="shared" si="9"/>
        <v>7.6797868355602669E-3</v>
      </c>
      <c r="W36" s="3"/>
      <c r="X36" s="8">
        <f t="shared" si="10"/>
        <v>20317.668853846204</v>
      </c>
      <c r="Y36" s="3"/>
      <c r="Z36" s="7">
        <f t="shared" si="11"/>
        <v>0.29825072482369341</v>
      </c>
    </row>
    <row r="37" spans="1:26" s="70" customFormat="1" ht="15" hidden="1" customHeight="1" outlineLevel="2" x14ac:dyDescent="0.25">
      <c r="A37" s="25"/>
      <c r="B37" s="12" t="str">
        <f>CONCATENATE("          ","6119"," - ","SICK LEAVE")</f>
        <v xml:space="preserve">          6119 - SICK LEAVE</v>
      </c>
      <c r="C37" s="12"/>
      <c r="D37" s="8">
        <v>5420.16</v>
      </c>
      <c r="E37" s="3"/>
      <c r="F37" s="7">
        <f t="shared" si="4"/>
        <v>7.8610531701879365E-3</v>
      </c>
      <c r="G37" s="3"/>
      <c r="H37" s="8">
        <v>6998.4500538461498</v>
      </c>
      <c r="I37" s="3"/>
      <c r="J37" s="7">
        <f t="shared" si="5"/>
        <v>1.1571511332417576E-2</v>
      </c>
      <c r="K37" s="3"/>
      <c r="L37" s="8">
        <f t="shared" si="6"/>
        <v>-1578.2900538461499</v>
      </c>
      <c r="M37" s="3"/>
      <c r="N37" s="7">
        <f t="shared" si="7"/>
        <v>-0.2255199425162385</v>
      </c>
      <c r="O37" s="12"/>
      <c r="P37" s="8">
        <v>68729.48</v>
      </c>
      <c r="Q37" s="3"/>
      <c r="R37" s="7">
        <f t="shared" si="8"/>
        <v>5.9170269683823983E-3</v>
      </c>
      <c r="S37" s="3"/>
      <c r="T37" s="8">
        <v>95243.777446153807</v>
      </c>
      <c r="U37" s="3"/>
      <c r="V37" s="7">
        <f t="shared" si="9"/>
        <v>1.0737258460289705E-2</v>
      </c>
      <c r="W37" s="3"/>
      <c r="X37" s="8">
        <f t="shared" si="10"/>
        <v>-26514.297446153811</v>
      </c>
      <c r="Y37" s="3"/>
      <c r="Z37" s="7">
        <f t="shared" si="11"/>
        <v>-0.27838351393762917</v>
      </c>
    </row>
    <row r="38" spans="1:26" s="70" customFormat="1" ht="15" hidden="1" customHeight="1" outlineLevel="2" x14ac:dyDescent="0.25">
      <c r="A38" s="25"/>
      <c r="B38" s="12" t="str">
        <f>CONCATENATE("          ","6156"," - ","EMPLOYEE MEALS")</f>
        <v xml:space="preserve">          6156 - EMPLOYEE MEALS</v>
      </c>
      <c r="C38" s="12"/>
      <c r="D38" s="8">
        <v>3590.75</v>
      </c>
      <c r="E38" s="3"/>
      <c r="F38" s="7">
        <f t="shared" si="4"/>
        <v>5.2077939896335778E-3</v>
      </c>
      <c r="G38" s="3"/>
      <c r="H38" s="8">
        <v>4200</v>
      </c>
      <c r="I38" s="3"/>
      <c r="J38" s="7">
        <f t="shared" si="5"/>
        <v>6.9444444444444441E-3</v>
      </c>
      <c r="K38" s="3"/>
      <c r="L38" s="8">
        <f t="shared" si="6"/>
        <v>-609.25</v>
      </c>
      <c r="M38" s="3"/>
      <c r="N38" s="7">
        <f t="shared" si="7"/>
        <v>-0.1450595238095238</v>
      </c>
      <c r="O38" s="12"/>
      <c r="P38" s="8">
        <v>37728.9</v>
      </c>
      <c r="Q38" s="3"/>
      <c r="R38" s="7">
        <f t="shared" si="8"/>
        <v>3.2481392087849738E-3</v>
      </c>
      <c r="S38" s="3"/>
      <c r="T38" s="8">
        <v>46200</v>
      </c>
      <c r="U38" s="3"/>
      <c r="V38" s="7">
        <f t="shared" si="9"/>
        <v>5.208333333333333E-3</v>
      </c>
      <c r="W38" s="3"/>
      <c r="X38" s="8">
        <f t="shared" si="10"/>
        <v>-8471.0999999999985</v>
      </c>
      <c r="Y38" s="3"/>
      <c r="Z38" s="7">
        <f t="shared" si="11"/>
        <v>-0.18335714285714283</v>
      </c>
    </row>
    <row r="39" spans="1:26" s="69" customFormat="1" ht="15" customHeight="1" outlineLevel="1" collapsed="1" x14ac:dyDescent="0.25">
      <c r="A39" s="26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183728.09</v>
      </c>
      <c r="E39" s="2"/>
      <c r="F39" s="6">
        <f t="shared" si="4"/>
        <v>0.26646746301715718</v>
      </c>
      <c r="G39" s="2"/>
      <c r="H39" s="2">
        <f>SUM(OSRRefH22_1x_0)</f>
        <v>208691.23695384609</v>
      </c>
      <c r="I39" s="2"/>
      <c r="J39" s="6">
        <f t="shared" si="5"/>
        <v>0.34505826215913704</v>
      </c>
      <c r="K39" s="2"/>
      <c r="L39" s="2">
        <f t="shared" si="6"/>
        <v>-24963.146953846095</v>
      </c>
      <c r="M39" s="2"/>
      <c r="N39" s="6">
        <f t="shared" si="7"/>
        <v>-0.11961760981543712</v>
      </c>
      <c r="O39" s="14"/>
      <c r="P39" s="2">
        <f>SUM(OSRRefP22_1x_0)</f>
        <v>2556538.1799999997</v>
      </c>
      <c r="Q39" s="2"/>
      <c r="R39" s="6">
        <f t="shared" si="8"/>
        <v>0.22009631611877833</v>
      </c>
      <c r="S39" s="2"/>
      <c r="T39" s="2">
        <f>SUM(OSRRefT22_1x_0)</f>
        <v>2870339.7609461527</v>
      </c>
      <c r="U39" s="2"/>
      <c r="V39" s="6">
        <f t="shared" si="9"/>
        <v>0.32358628257419653</v>
      </c>
      <c r="W39" s="2"/>
      <c r="X39" s="2">
        <f t="shared" si="10"/>
        <v>-313801.58094615303</v>
      </c>
      <c r="Y39" s="2"/>
      <c r="Z39" s="6">
        <f t="shared" si="11"/>
        <v>-0.10932558758922474</v>
      </c>
    </row>
    <row r="40" spans="1:26" s="70" customFormat="1" ht="15" hidden="1" customHeight="1" outlineLevel="2" x14ac:dyDescent="0.25">
      <c r="A40" s="25"/>
      <c r="B40" s="12" t="str">
        <f>CONCATENATE("          ","6001"," - ","ADMINISTRATIVE SALARIES")</f>
        <v xml:space="preserve">          6001 - ADMINISTRATIVE SALARIES</v>
      </c>
      <c r="C40" s="12"/>
      <c r="D40" s="8">
        <v>9317.92</v>
      </c>
      <c r="E40" s="3"/>
      <c r="F40" s="7">
        <f t="shared" si="4"/>
        <v>1.3514114814979186E-2</v>
      </c>
      <c r="G40" s="3"/>
      <c r="H40" s="8">
        <v>0</v>
      </c>
      <c r="I40" s="3"/>
      <c r="J40" s="7">
        <f t="shared" si="5"/>
        <v>0</v>
      </c>
      <c r="K40" s="3"/>
      <c r="L40" s="8">
        <f t="shared" si="6"/>
        <v>9317.92</v>
      </c>
      <c r="M40" s="3"/>
      <c r="N40" s="7">
        <f t="shared" si="7"/>
        <v>0</v>
      </c>
      <c r="O40" s="12"/>
      <c r="P40" s="8">
        <v>103733.48</v>
      </c>
      <c r="Q40" s="3"/>
      <c r="R40" s="7">
        <f t="shared" si="8"/>
        <v>8.9305753322177928E-3</v>
      </c>
      <c r="S40" s="3"/>
      <c r="T40" s="8">
        <v>0</v>
      </c>
      <c r="U40" s="3"/>
      <c r="V40" s="7">
        <f t="shared" si="9"/>
        <v>0</v>
      </c>
      <c r="W40" s="3"/>
      <c r="X40" s="8">
        <f t="shared" si="10"/>
        <v>103733.48</v>
      </c>
      <c r="Y40" s="3"/>
      <c r="Z40" s="7">
        <f t="shared" si="11"/>
        <v>0</v>
      </c>
    </row>
    <row r="41" spans="1:26" s="70" customFormat="1" ht="15" hidden="1" customHeight="1" outlineLevel="2" x14ac:dyDescent="0.25">
      <c r="A41" s="25"/>
      <c r="B41" s="12" t="str">
        <f>CONCATENATE("          ","6002"," - ","STAFF SALARIES")</f>
        <v xml:space="preserve">          6002 - STAFF SALARIES</v>
      </c>
      <c r="C41" s="12"/>
      <c r="D41" s="8">
        <v>34111.620000000003</v>
      </c>
      <c r="E41" s="3"/>
      <c r="F41" s="7">
        <f t="shared" si="4"/>
        <v>4.9473310481839332E-2</v>
      </c>
      <c r="G41" s="3"/>
      <c r="H41" s="8">
        <v>42229.279353846097</v>
      </c>
      <c r="I41" s="3"/>
      <c r="J41" s="7">
        <f t="shared" si="5"/>
        <v>6.9823543905168817E-2</v>
      </c>
      <c r="K41" s="3"/>
      <c r="L41" s="8">
        <f t="shared" si="6"/>
        <v>-8117.6593538460947</v>
      </c>
      <c r="M41" s="3"/>
      <c r="N41" s="7">
        <f t="shared" si="7"/>
        <v>-0.19222822359403502</v>
      </c>
      <c r="O41" s="12"/>
      <c r="P41" s="8">
        <v>411352.01</v>
      </c>
      <c r="Q41" s="3"/>
      <c r="R41" s="7">
        <f t="shared" si="8"/>
        <v>3.5413929170834788E-2</v>
      </c>
      <c r="S41" s="3"/>
      <c r="T41" s="8">
        <v>505091.88274615299</v>
      </c>
      <c r="U41" s="3"/>
      <c r="V41" s="7">
        <f t="shared" si="9"/>
        <v>5.6941274660235498E-2</v>
      </c>
      <c r="W41" s="3"/>
      <c r="X41" s="8">
        <f t="shared" si="10"/>
        <v>-93739.872746152978</v>
      </c>
      <c r="Y41" s="3"/>
      <c r="Z41" s="7">
        <f t="shared" si="11"/>
        <v>-0.18558974307109263</v>
      </c>
    </row>
    <row r="42" spans="1:26" s="70" customFormat="1" ht="15" hidden="1" customHeight="1" outlineLevel="2" x14ac:dyDescent="0.25">
      <c r="A42" s="25"/>
      <c r="B42" s="12" t="str">
        <f>CONCATENATE("          ","6003"," - ","STAFF HOURLY-9 MONTH")</f>
        <v xml:space="preserve">          6003 - STAFF HOURLY-9 MONTH</v>
      </c>
      <c r="C42" s="12"/>
      <c r="D42" s="8"/>
      <c r="E42" s="3"/>
      <c r="F42" s="7">
        <f t="shared" si="4"/>
        <v>0</v>
      </c>
      <c r="G42" s="3"/>
      <c r="H42" s="8">
        <v>0</v>
      </c>
      <c r="I42" s="3"/>
      <c r="J42" s="7">
        <f t="shared" si="5"/>
        <v>0</v>
      </c>
      <c r="K42" s="3"/>
      <c r="L42" s="8">
        <f t="shared" si="6"/>
        <v>0</v>
      </c>
      <c r="M42" s="3"/>
      <c r="N42" s="7">
        <f t="shared" si="7"/>
        <v>0</v>
      </c>
      <c r="O42" s="12"/>
      <c r="P42" s="8"/>
      <c r="Q42" s="3"/>
      <c r="R42" s="7">
        <f t="shared" si="8"/>
        <v>0</v>
      </c>
      <c r="S42" s="3"/>
      <c r="T42" s="8">
        <v>0</v>
      </c>
      <c r="U42" s="3"/>
      <c r="V42" s="7">
        <f t="shared" si="9"/>
        <v>0</v>
      </c>
      <c r="W42" s="3"/>
      <c r="X42" s="8">
        <f t="shared" si="10"/>
        <v>0</v>
      </c>
      <c r="Y42" s="3"/>
      <c r="Z42" s="7">
        <f t="shared" si="11"/>
        <v>0</v>
      </c>
    </row>
    <row r="43" spans="1:26" s="70" customFormat="1" ht="15" hidden="1" customHeight="1" outlineLevel="2" x14ac:dyDescent="0.25">
      <c r="A43" s="25"/>
      <c r="B43" s="12" t="str">
        <f>CONCATENATE("          ","6004"," - ","STAFF HOURLY")</f>
        <v xml:space="preserve">          6004 - STAFF HOURLY</v>
      </c>
      <c r="C43" s="12"/>
      <c r="D43" s="8">
        <v>71659.09</v>
      </c>
      <c r="E43" s="3"/>
      <c r="F43" s="7">
        <f t="shared" si="4"/>
        <v>0.10392975790701431</v>
      </c>
      <c r="G43" s="3"/>
      <c r="H43" s="8">
        <v>89518.745599999995</v>
      </c>
      <c r="I43" s="3"/>
      <c r="J43" s="7">
        <f t="shared" si="5"/>
        <v>0.14801379894179895</v>
      </c>
      <c r="K43" s="3"/>
      <c r="L43" s="8">
        <f t="shared" si="6"/>
        <v>-17859.655599999998</v>
      </c>
      <c r="M43" s="3"/>
      <c r="N43" s="7">
        <f t="shared" si="7"/>
        <v>-0.19950743813818589</v>
      </c>
      <c r="O43" s="12"/>
      <c r="P43" s="8">
        <v>853290.6</v>
      </c>
      <c r="Q43" s="3"/>
      <c r="R43" s="7">
        <f t="shared" si="8"/>
        <v>7.3461104202551766E-2</v>
      </c>
      <c r="S43" s="3"/>
      <c r="T43" s="8">
        <v>1160924.9472000001</v>
      </c>
      <c r="U43" s="3"/>
      <c r="V43" s="7">
        <f t="shared" si="9"/>
        <v>0.13087627922077924</v>
      </c>
      <c r="W43" s="3"/>
      <c r="X43" s="8">
        <f t="shared" si="10"/>
        <v>-307634.34720000008</v>
      </c>
      <c r="Y43" s="3"/>
      <c r="Z43" s="7">
        <f t="shared" si="11"/>
        <v>-0.26499072824817321</v>
      </c>
    </row>
    <row r="44" spans="1:26" s="70" customFormat="1" ht="15" hidden="1" customHeight="1" outlineLevel="2" x14ac:dyDescent="0.25">
      <c r="A44" s="25"/>
      <c r="B44" s="12" t="str">
        <f>CONCATENATE("          ","6005"," - ","TEMPORARY WAGES-HOURLY")</f>
        <v xml:space="preserve">          6005 - TEMPORARY WAGES-HOURLY</v>
      </c>
      <c r="C44" s="12"/>
      <c r="D44" s="8">
        <v>13539.61</v>
      </c>
      <c r="E44" s="3"/>
      <c r="F44" s="7">
        <f t="shared" si="4"/>
        <v>1.9636983800036954E-2</v>
      </c>
      <c r="G44" s="3"/>
      <c r="H44" s="8">
        <v>12021.21</v>
      </c>
      <c r="I44" s="3"/>
      <c r="J44" s="7">
        <f t="shared" si="5"/>
        <v>1.9876339285714285E-2</v>
      </c>
      <c r="K44" s="3"/>
      <c r="L44" s="8">
        <f t="shared" si="6"/>
        <v>1518.4000000000015</v>
      </c>
      <c r="M44" s="3"/>
      <c r="N44" s="7">
        <f t="shared" si="7"/>
        <v>0.12631008026646248</v>
      </c>
      <c r="O44" s="12"/>
      <c r="P44" s="8">
        <v>383341.09</v>
      </c>
      <c r="Q44" s="3"/>
      <c r="R44" s="7">
        <f t="shared" si="8"/>
        <v>3.3002425853056128E-2</v>
      </c>
      <c r="S44" s="3"/>
      <c r="T44" s="8">
        <v>223163.535</v>
      </c>
      <c r="U44" s="3"/>
      <c r="V44" s="7">
        <f t="shared" si="9"/>
        <v>2.5158226799242425E-2</v>
      </c>
      <c r="W44" s="3"/>
      <c r="X44" s="8">
        <f t="shared" si="10"/>
        <v>160177.55500000002</v>
      </c>
      <c r="Y44" s="3"/>
      <c r="Z44" s="7">
        <f t="shared" si="11"/>
        <v>0.71775863830083175</v>
      </c>
    </row>
    <row r="45" spans="1:26" s="70" customFormat="1" ht="15" hidden="1" customHeight="1" outlineLevel="2" x14ac:dyDescent="0.25">
      <c r="A45" s="25"/>
      <c r="B45" s="12" t="str">
        <f>CONCATENATE("          ","6006"," - ","TEMPORARY PART TIME")</f>
        <v xml:space="preserve">          6006 - TEMPORARY PART TIME</v>
      </c>
      <c r="C45" s="12"/>
      <c r="D45" s="8">
        <v>1994.5</v>
      </c>
      <c r="E45" s="3"/>
      <c r="F45" s="7">
        <f t="shared" si="4"/>
        <v>2.8926951506855593E-3</v>
      </c>
      <c r="G45" s="3"/>
      <c r="H45" s="8">
        <v>0</v>
      </c>
      <c r="I45" s="3"/>
      <c r="J45" s="7">
        <f t="shared" si="5"/>
        <v>0</v>
      </c>
      <c r="K45" s="3"/>
      <c r="L45" s="8">
        <f t="shared" si="6"/>
        <v>1994.5</v>
      </c>
      <c r="M45" s="3"/>
      <c r="N45" s="7">
        <f t="shared" si="7"/>
        <v>0</v>
      </c>
      <c r="O45" s="12"/>
      <c r="P45" s="8">
        <v>9198.2199999999993</v>
      </c>
      <c r="Q45" s="3"/>
      <c r="R45" s="7">
        <f t="shared" si="8"/>
        <v>7.9188895072557425E-4</v>
      </c>
      <c r="S45" s="3"/>
      <c r="T45" s="8">
        <v>0</v>
      </c>
      <c r="U45" s="3"/>
      <c r="V45" s="7">
        <f t="shared" si="9"/>
        <v>0</v>
      </c>
      <c r="W45" s="3"/>
      <c r="X45" s="8">
        <f t="shared" si="10"/>
        <v>9198.2199999999993</v>
      </c>
      <c r="Y45" s="3"/>
      <c r="Z45" s="7">
        <f t="shared" si="11"/>
        <v>0</v>
      </c>
    </row>
    <row r="46" spans="1:26" s="70" customFormat="1" ht="15" hidden="1" customHeight="1" outlineLevel="2" x14ac:dyDescent="0.25">
      <c r="A46" s="25"/>
      <c r="B46" s="12" t="str">
        <f>CONCATENATE("          ","6007"," - ","STUDENT HOURLY")</f>
        <v xml:space="preserve">          6007 - STUDENT HOURLY</v>
      </c>
      <c r="C46" s="12"/>
      <c r="D46" s="8">
        <v>35079.32</v>
      </c>
      <c r="E46" s="3"/>
      <c r="F46" s="7">
        <f t="shared" si="4"/>
        <v>5.0876800628401581E-2</v>
      </c>
      <c r="G46" s="3"/>
      <c r="H46" s="8">
        <v>0</v>
      </c>
      <c r="I46" s="3"/>
      <c r="J46" s="7">
        <f t="shared" si="5"/>
        <v>0</v>
      </c>
      <c r="K46" s="3"/>
      <c r="L46" s="8">
        <f t="shared" si="6"/>
        <v>35079.32</v>
      </c>
      <c r="M46" s="3"/>
      <c r="N46" s="7">
        <f t="shared" si="7"/>
        <v>0</v>
      </c>
      <c r="O46" s="12"/>
      <c r="P46" s="8">
        <v>554887.56999999995</v>
      </c>
      <c r="Q46" s="3"/>
      <c r="R46" s="7">
        <f t="shared" si="8"/>
        <v>4.7771126976519765E-2</v>
      </c>
      <c r="S46" s="3"/>
      <c r="T46" s="8">
        <v>42825.5</v>
      </c>
      <c r="U46" s="3"/>
      <c r="V46" s="7">
        <f t="shared" si="9"/>
        <v>4.8279108044733043E-3</v>
      </c>
      <c r="W46" s="3"/>
      <c r="X46" s="8">
        <f t="shared" si="10"/>
        <v>512062.06999999995</v>
      </c>
      <c r="Y46" s="3"/>
      <c r="Z46" s="7">
        <f t="shared" si="11"/>
        <v>11.956943176378559</v>
      </c>
    </row>
    <row r="47" spans="1:26" s="70" customFormat="1" ht="15" hidden="1" customHeight="1" outlineLevel="2" x14ac:dyDescent="0.25">
      <c r="A47" s="25"/>
      <c r="B47" s="12" t="str">
        <f>CONCATENATE("          ","6008"," - ","STUDENT HOURLY-FICA EXEMPT")</f>
        <v xml:space="preserve">          6008 - STUDENT HOURLY-FICA EXEMPT</v>
      </c>
      <c r="C47" s="12"/>
      <c r="D47" s="8">
        <v>18026.03</v>
      </c>
      <c r="E47" s="3"/>
      <c r="F47" s="7">
        <f t="shared" si="4"/>
        <v>2.6143800234200255E-2</v>
      </c>
      <c r="G47" s="3"/>
      <c r="H47" s="8">
        <v>64922.002</v>
      </c>
      <c r="I47" s="3"/>
      <c r="J47" s="7">
        <f t="shared" si="5"/>
        <v>0.10734458002645503</v>
      </c>
      <c r="K47" s="3"/>
      <c r="L47" s="8">
        <f t="shared" si="6"/>
        <v>-46895.972000000002</v>
      </c>
      <c r="M47" s="3"/>
      <c r="N47" s="7">
        <f t="shared" si="7"/>
        <v>-0.7223432820201694</v>
      </c>
      <c r="O47" s="12"/>
      <c r="P47" s="8">
        <v>240735.21</v>
      </c>
      <c r="Q47" s="3"/>
      <c r="R47" s="7">
        <f t="shared" si="8"/>
        <v>2.0725265632872532E-2</v>
      </c>
      <c r="S47" s="3"/>
      <c r="T47" s="8">
        <v>938333.89599999995</v>
      </c>
      <c r="U47" s="3"/>
      <c r="V47" s="7">
        <f t="shared" si="9"/>
        <v>0.10578259108946608</v>
      </c>
      <c r="W47" s="3"/>
      <c r="X47" s="8">
        <f t="shared" si="10"/>
        <v>-697598.68599999999</v>
      </c>
      <c r="Y47" s="3"/>
      <c r="Z47" s="7">
        <f t="shared" si="11"/>
        <v>-0.74344397977497767</v>
      </c>
    </row>
    <row r="48" spans="1:26" s="70" customFormat="1" ht="15" hidden="1" customHeight="1" outlineLevel="2" x14ac:dyDescent="0.25">
      <c r="A48" s="25"/>
      <c r="B48" s="12" t="str">
        <f>CONCATENATE("          ","6009"," - ","TEMPORARY-SEASONAL")</f>
        <v xml:space="preserve">          6009 - TEMPORARY-SEASONAL</v>
      </c>
      <c r="C48" s="12"/>
      <c r="D48" s="8"/>
      <c r="E48" s="3"/>
      <c r="F48" s="7">
        <f t="shared" si="4"/>
        <v>0</v>
      </c>
      <c r="G48" s="3"/>
      <c r="H48" s="8">
        <v>0</v>
      </c>
      <c r="I48" s="3"/>
      <c r="J48" s="7">
        <f t="shared" si="5"/>
        <v>0</v>
      </c>
      <c r="K48" s="3"/>
      <c r="L48" s="8">
        <f t="shared" si="6"/>
        <v>0</v>
      </c>
      <c r="M48" s="3"/>
      <c r="N48" s="7">
        <f t="shared" si="7"/>
        <v>0</v>
      </c>
      <c r="O48" s="12"/>
      <c r="P48" s="8"/>
      <c r="Q48" s="3"/>
      <c r="R48" s="7">
        <f t="shared" si="8"/>
        <v>0</v>
      </c>
      <c r="S48" s="3"/>
      <c r="T48" s="8">
        <v>0</v>
      </c>
      <c r="U48" s="3"/>
      <c r="V48" s="7">
        <f t="shared" si="9"/>
        <v>0</v>
      </c>
      <c r="W48" s="3"/>
      <c r="X48" s="8">
        <f t="shared" si="10"/>
        <v>0</v>
      </c>
      <c r="Y48" s="3"/>
      <c r="Z48" s="7">
        <f t="shared" si="11"/>
        <v>0</v>
      </c>
    </row>
    <row r="49" spans="1:26" s="70" customFormat="1" ht="15" hidden="1" customHeight="1" outlineLevel="2" x14ac:dyDescent="0.25">
      <c r="A49" s="25"/>
      <c r="B49" s="12" t="str">
        <f>CONCATENATE("          ","6010"," - ","GRATUITY")</f>
        <v xml:space="preserve">          6010 - GRATUITY</v>
      </c>
      <c r="C49" s="12"/>
      <c r="D49" s="8"/>
      <c r="E49" s="3"/>
      <c r="F49" s="7">
        <f t="shared" si="4"/>
        <v>0</v>
      </c>
      <c r="G49" s="3"/>
      <c r="H49" s="8">
        <v>0</v>
      </c>
      <c r="I49" s="3"/>
      <c r="J49" s="7">
        <f t="shared" si="5"/>
        <v>0</v>
      </c>
      <c r="K49" s="3"/>
      <c r="L49" s="8">
        <f t="shared" si="6"/>
        <v>0</v>
      </c>
      <c r="M49" s="3"/>
      <c r="N49" s="7">
        <f t="shared" si="7"/>
        <v>0</v>
      </c>
      <c r="O49" s="12"/>
      <c r="P49" s="8"/>
      <c r="Q49" s="3"/>
      <c r="R49" s="7">
        <f t="shared" si="8"/>
        <v>0</v>
      </c>
      <c r="S49" s="3"/>
      <c r="T49" s="8">
        <v>0</v>
      </c>
      <c r="U49" s="3"/>
      <c r="V49" s="7">
        <f t="shared" si="9"/>
        <v>0</v>
      </c>
      <c r="W49" s="3"/>
      <c r="X49" s="8">
        <f t="shared" si="10"/>
        <v>0</v>
      </c>
      <c r="Y49" s="3"/>
      <c r="Z49" s="7">
        <f t="shared" si="11"/>
        <v>0</v>
      </c>
    </row>
    <row r="50" spans="1:26" s="69" customFormat="1" ht="15" customHeight="1" outlineLevel="1" collapsed="1" x14ac:dyDescent="0.25">
      <c r="A50" s="26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1356.26</v>
      </c>
      <c r="E50" s="2"/>
      <c r="F50" s="6">
        <f t="shared" si="4"/>
        <v>1.9670327024661803E-3</v>
      </c>
      <c r="G50" s="2"/>
      <c r="H50" s="2">
        <f>SUM(OSRRefH22_2x_0)</f>
        <v>1319</v>
      </c>
      <c r="I50" s="2"/>
      <c r="J50" s="6">
        <f t="shared" si="5"/>
        <v>2.1808862433862434E-3</v>
      </c>
      <c r="K50" s="2"/>
      <c r="L50" s="2">
        <f t="shared" si="6"/>
        <v>37.259999999999991</v>
      </c>
      <c r="M50" s="2"/>
      <c r="N50" s="6">
        <f t="shared" si="7"/>
        <v>2.8248673237300979E-2</v>
      </c>
      <c r="O50" s="14"/>
      <c r="P50" s="2">
        <f>SUM(OSRRefP22_2x_0)</f>
        <v>5191.41</v>
      </c>
      <c r="Q50" s="2"/>
      <c r="R50" s="6">
        <f t="shared" si="8"/>
        <v>4.46936496157545E-4</v>
      </c>
      <c r="S50" s="2"/>
      <c r="T50" s="2">
        <f>SUM(OSRRefT22_2x_0)</f>
        <v>14509</v>
      </c>
      <c r="U50" s="2"/>
      <c r="V50" s="6">
        <f t="shared" si="9"/>
        <v>1.6356646825396825E-3</v>
      </c>
      <c r="W50" s="2"/>
      <c r="X50" s="2">
        <f t="shared" si="10"/>
        <v>-9317.59</v>
      </c>
      <c r="Y50" s="2"/>
      <c r="Z50" s="6">
        <f t="shared" si="11"/>
        <v>-0.64219381073816251</v>
      </c>
    </row>
    <row r="51" spans="1:26" s="70" customFormat="1" ht="15" hidden="1" customHeight="1" outlineLevel="2" x14ac:dyDescent="0.25">
      <c r="A51" s="25"/>
      <c r="B51" s="12" t="str">
        <f>CONCATENATE("          ","6362"," - ","ADVERTISING EXPENSE")</f>
        <v xml:space="preserve">          6362 - ADVERTISING EXPENSE</v>
      </c>
      <c r="C51" s="12"/>
      <c r="D51" s="8">
        <v>1356.26</v>
      </c>
      <c r="E51" s="3"/>
      <c r="F51" s="7">
        <f t="shared" si="4"/>
        <v>1.9670327024661803E-3</v>
      </c>
      <c r="G51" s="3"/>
      <c r="H51" s="8">
        <v>1319</v>
      </c>
      <c r="I51" s="3"/>
      <c r="J51" s="7">
        <f t="shared" si="5"/>
        <v>2.1808862433862434E-3</v>
      </c>
      <c r="K51" s="3"/>
      <c r="L51" s="8">
        <f t="shared" si="6"/>
        <v>37.259999999999991</v>
      </c>
      <c r="M51" s="3"/>
      <c r="N51" s="7">
        <f t="shared" si="7"/>
        <v>2.8248673237300979E-2</v>
      </c>
      <c r="O51" s="12"/>
      <c r="P51" s="8">
        <v>5191.41</v>
      </c>
      <c r="Q51" s="3"/>
      <c r="R51" s="7">
        <f t="shared" si="8"/>
        <v>4.46936496157545E-4</v>
      </c>
      <c r="S51" s="3"/>
      <c r="T51" s="8">
        <v>14509</v>
      </c>
      <c r="U51" s="3"/>
      <c r="V51" s="7">
        <f t="shared" si="9"/>
        <v>1.6356646825396825E-3</v>
      </c>
      <c r="W51" s="3"/>
      <c r="X51" s="8">
        <f t="shared" si="10"/>
        <v>-9317.59</v>
      </c>
      <c r="Y51" s="3"/>
      <c r="Z51" s="7">
        <f t="shared" si="11"/>
        <v>-0.64219381073816251</v>
      </c>
    </row>
    <row r="52" spans="1:26" s="69" customFormat="1" ht="15" customHeight="1" outlineLevel="1" collapsed="1" x14ac:dyDescent="0.25">
      <c r="A52" s="26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8</v>
      </c>
      <c r="E52" s="2"/>
      <c r="F52" s="6">
        <f t="shared" si="4"/>
        <v>1.1602687994727739E-5</v>
      </c>
      <c r="G52" s="2"/>
      <c r="H52" s="2">
        <f>SUM(OSRRefH22_3x_0)</f>
        <v>33</v>
      </c>
      <c r="I52" s="2"/>
      <c r="J52" s="6">
        <f t="shared" si="5"/>
        <v>5.4563492063492063E-5</v>
      </c>
      <c r="K52" s="2"/>
      <c r="L52" s="2">
        <f t="shared" si="6"/>
        <v>-25</v>
      </c>
      <c r="M52" s="2"/>
      <c r="N52" s="6">
        <f t="shared" si="7"/>
        <v>-0.75757575757575757</v>
      </c>
      <c r="O52" s="14"/>
      <c r="P52" s="2">
        <f>SUM(OSRRefP22_3x_0)</f>
        <v>-8</v>
      </c>
      <c r="Q52" s="2"/>
      <c r="R52" s="6">
        <f t="shared" si="8"/>
        <v>-6.8873234232325326E-7</v>
      </c>
      <c r="S52" s="2"/>
      <c r="T52" s="2">
        <f>SUM(OSRRefT22_3x_0)</f>
        <v>345</v>
      </c>
      <c r="U52" s="2"/>
      <c r="V52" s="6">
        <f t="shared" si="9"/>
        <v>3.889339826839827E-5</v>
      </c>
      <c r="W52" s="2"/>
      <c r="X52" s="2">
        <f t="shared" si="10"/>
        <v>-353</v>
      </c>
      <c r="Y52" s="2"/>
      <c r="Z52" s="6">
        <f t="shared" si="11"/>
        <v>-1.0231884057971015</v>
      </c>
    </row>
    <row r="53" spans="1:26" s="70" customFormat="1" ht="15" hidden="1" customHeight="1" outlineLevel="2" x14ac:dyDescent="0.25">
      <c r="A53" s="25"/>
      <c r="B53" s="12" t="str">
        <f>CONCATENATE("          ","6272"," - ","CASH (OVER/SHORT)")</f>
        <v xml:space="preserve">          6272 - CASH (OVER/SHORT)</v>
      </c>
      <c r="C53" s="12"/>
      <c r="D53" s="8">
        <v>8</v>
      </c>
      <c r="E53" s="3"/>
      <c r="F53" s="7">
        <f t="shared" si="4"/>
        <v>1.1602687994727739E-5</v>
      </c>
      <c r="G53" s="3"/>
      <c r="H53" s="8">
        <v>33</v>
      </c>
      <c r="I53" s="3"/>
      <c r="J53" s="7">
        <f t="shared" si="5"/>
        <v>5.4563492063492063E-5</v>
      </c>
      <c r="K53" s="3"/>
      <c r="L53" s="8">
        <f t="shared" si="6"/>
        <v>-25</v>
      </c>
      <c r="M53" s="3"/>
      <c r="N53" s="7">
        <f t="shared" si="7"/>
        <v>-0.75757575757575757</v>
      </c>
      <c r="O53" s="12"/>
      <c r="P53" s="8">
        <v>-8</v>
      </c>
      <c r="Q53" s="3"/>
      <c r="R53" s="7">
        <f t="shared" si="8"/>
        <v>-6.8873234232325326E-7</v>
      </c>
      <c r="S53" s="3"/>
      <c r="T53" s="8">
        <v>345</v>
      </c>
      <c r="U53" s="3"/>
      <c r="V53" s="7">
        <f t="shared" si="9"/>
        <v>3.889339826839827E-5</v>
      </c>
      <c r="W53" s="3"/>
      <c r="X53" s="8">
        <f t="shared" si="10"/>
        <v>-353</v>
      </c>
      <c r="Y53" s="3"/>
      <c r="Z53" s="7">
        <f t="shared" si="11"/>
        <v>-1.0231884057971015</v>
      </c>
    </row>
    <row r="54" spans="1:26" s="69" customFormat="1" ht="15" customHeight="1" outlineLevel="1" collapsed="1" x14ac:dyDescent="0.25">
      <c r="A54" s="26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149.05000000000001</v>
      </c>
      <c r="E54" s="2"/>
      <c r="F54" s="6">
        <f t="shared" si="4"/>
        <v>2.1617258070177119E-4</v>
      </c>
      <c r="G54" s="2"/>
      <c r="H54" s="2">
        <f>SUM(OSRRefH22_4x_0)</f>
        <v>410</v>
      </c>
      <c r="I54" s="2"/>
      <c r="J54" s="6">
        <f t="shared" si="5"/>
        <v>6.7791005291005296E-4</v>
      </c>
      <c r="K54" s="2"/>
      <c r="L54" s="2">
        <f t="shared" si="6"/>
        <v>-260.95</v>
      </c>
      <c r="M54" s="2"/>
      <c r="N54" s="6">
        <f t="shared" si="7"/>
        <v>-0.63646341463414635</v>
      </c>
      <c r="O54" s="14"/>
      <c r="P54" s="2">
        <f>SUM(OSRRefP22_4x_0)</f>
        <v>1814.15</v>
      </c>
      <c r="Q54" s="2"/>
      <c r="R54" s="6">
        <f t="shared" si="8"/>
        <v>1.5618297235321624E-4</v>
      </c>
      <c r="S54" s="2"/>
      <c r="T54" s="2">
        <f>SUM(OSRRefT22_4x_0)</f>
        <v>4485</v>
      </c>
      <c r="U54" s="2"/>
      <c r="V54" s="6">
        <f t="shared" si="9"/>
        <v>5.0561417748917748E-4</v>
      </c>
      <c r="W54" s="2"/>
      <c r="X54" s="2">
        <f t="shared" si="10"/>
        <v>-2670.85</v>
      </c>
      <c r="Y54" s="2"/>
      <c r="Z54" s="6">
        <f t="shared" si="11"/>
        <v>-0.59550724637681163</v>
      </c>
    </row>
    <row r="55" spans="1:26" s="70" customFormat="1" ht="15" hidden="1" customHeight="1" outlineLevel="2" x14ac:dyDescent="0.25">
      <c r="A55" s="25"/>
      <c r="B55" s="12" t="str">
        <f>CONCATENATE("          ","6381"," - ","BANK/CREDIT CARD FEES")</f>
        <v xml:space="preserve">          6381 - BANK/CREDIT CARD FEES</v>
      </c>
      <c r="C55" s="12"/>
      <c r="D55" s="8">
        <v>149.05000000000001</v>
      </c>
      <c r="E55" s="3"/>
      <c r="F55" s="7">
        <f t="shared" si="4"/>
        <v>2.1617258070177119E-4</v>
      </c>
      <c r="G55" s="3"/>
      <c r="H55" s="8">
        <v>410</v>
      </c>
      <c r="I55" s="3"/>
      <c r="J55" s="7">
        <f t="shared" si="5"/>
        <v>6.7791005291005296E-4</v>
      </c>
      <c r="K55" s="3"/>
      <c r="L55" s="8">
        <f t="shared" si="6"/>
        <v>-260.95</v>
      </c>
      <c r="M55" s="3"/>
      <c r="N55" s="7">
        <f t="shared" si="7"/>
        <v>-0.63646341463414635</v>
      </c>
      <c r="O55" s="12"/>
      <c r="P55" s="8">
        <v>1814.15</v>
      </c>
      <c r="Q55" s="3"/>
      <c r="R55" s="7">
        <f t="shared" si="8"/>
        <v>1.5618297235321624E-4</v>
      </c>
      <c r="S55" s="3"/>
      <c r="T55" s="8">
        <v>4485</v>
      </c>
      <c r="U55" s="3"/>
      <c r="V55" s="7">
        <f t="shared" si="9"/>
        <v>5.0561417748917748E-4</v>
      </c>
      <c r="W55" s="3"/>
      <c r="X55" s="8">
        <f t="shared" si="10"/>
        <v>-2670.85</v>
      </c>
      <c r="Y55" s="3"/>
      <c r="Z55" s="7">
        <f t="shared" si="11"/>
        <v>-0.59550724637681163</v>
      </c>
    </row>
    <row r="56" spans="1:26" s="69" customFormat="1" ht="15" customHeight="1" outlineLevel="1" collapsed="1" x14ac:dyDescent="0.25">
      <c r="A56" s="26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760.04</v>
      </c>
      <c r="E56" s="2"/>
      <c r="F56" s="6">
        <f t="shared" si="4"/>
        <v>1.1023133729391088E-3</v>
      </c>
      <c r="G56" s="2"/>
      <c r="H56" s="2">
        <f>SUM(OSRRefH22_5x_0)</f>
        <v>486</v>
      </c>
      <c r="I56" s="2"/>
      <c r="J56" s="6">
        <f t="shared" si="5"/>
        <v>8.0357142857142856E-4</v>
      </c>
      <c r="K56" s="2"/>
      <c r="L56" s="2">
        <f t="shared" si="6"/>
        <v>274.03999999999996</v>
      </c>
      <c r="M56" s="2"/>
      <c r="N56" s="6">
        <f t="shared" si="7"/>
        <v>0.56386831275720162</v>
      </c>
      <c r="O56" s="14"/>
      <c r="P56" s="2">
        <f>SUM(OSRRefP22_5x_0)</f>
        <v>8360.44</v>
      </c>
      <c r="Q56" s="2"/>
      <c r="R56" s="6">
        <f t="shared" si="8"/>
        <v>7.1976317800662745E-4</v>
      </c>
      <c r="S56" s="2"/>
      <c r="T56" s="2">
        <f>SUM(OSRRefT22_5x_0)</f>
        <v>5346</v>
      </c>
      <c r="U56" s="2"/>
      <c r="V56" s="6">
        <f t="shared" si="9"/>
        <v>6.0267857142857139E-4</v>
      </c>
      <c r="W56" s="2"/>
      <c r="X56" s="2">
        <f t="shared" si="10"/>
        <v>3014.4400000000005</v>
      </c>
      <c r="Y56" s="2"/>
      <c r="Z56" s="6">
        <f t="shared" si="11"/>
        <v>0.56386831275720173</v>
      </c>
    </row>
    <row r="57" spans="1:26" s="70" customFormat="1" ht="15" hidden="1" customHeight="1" outlineLevel="2" x14ac:dyDescent="0.25">
      <c r="A57" s="25"/>
      <c r="B57" s="12" t="str">
        <f>CONCATENATE("          ","6322"," - ","EQUIPMENT DEPRECIATION EXPENSE")</f>
        <v xml:space="preserve">          6322 - EQUIPMENT DEPRECIATION EXPENSE</v>
      </c>
      <c r="C57" s="12"/>
      <c r="D57" s="8">
        <v>760.04</v>
      </c>
      <c r="E57" s="3"/>
      <c r="F57" s="7">
        <f t="shared" si="4"/>
        <v>1.1023133729391088E-3</v>
      </c>
      <c r="G57" s="3"/>
      <c r="H57" s="8">
        <v>486</v>
      </c>
      <c r="I57" s="3"/>
      <c r="J57" s="7">
        <f t="shared" si="5"/>
        <v>8.0357142857142856E-4</v>
      </c>
      <c r="K57" s="3"/>
      <c r="L57" s="8">
        <f t="shared" si="6"/>
        <v>274.03999999999996</v>
      </c>
      <c r="M57" s="3"/>
      <c r="N57" s="7">
        <f t="shared" si="7"/>
        <v>0.56386831275720162</v>
      </c>
      <c r="O57" s="12"/>
      <c r="P57" s="8">
        <v>8360.44</v>
      </c>
      <c r="Q57" s="3"/>
      <c r="R57" s="7">
        <f t="shared" si="8"/>
        <v>7.1976317800662745E-4</v>
      </c>
      <c r="S57" s="3"/>
      <c r="T57" s="8">
        <v>5346</v>
      </c>
      <c r="U57" s="3"/>
      <c r="V57" s="7">
        <f t="shared" si="9"/>
        <v>6.0267857142857139E-4</v>
      </c>
      <c r="W57" s="3"/>
      <c r="X57" s="8">
        <f t="shared" si="10"/>
        <v>3014.4400000000005</v>
      </c>
      <c r="Y57" s="3"/>
      <c r="Z57" s="7">
        <f t="shared" si="11"/>
        <v>0.56386831275720173</v>
      </c>
    </row>
    <row r="58" spans="1:26" s="69" customFormat="1" ht="15" customHeight="1" outlineLevel="1" collapsed="1" x14ac:dyDescent="0.25">
      <c r="A58" s="26"/>
      <c r="B58" s="14" t="str">
        <f>CONCATENATE("     ","Donations                                         ")</f>
        <v xml:space="preserve">     Donations                                         </v>
      </c>
      <c r="C58" s="14"/>
      <c r="D58" s="2">
        <f>SUM(OSRRefD22_6x_0)</f>
        <v>3862.46</v>
      </c>
      <c r="E58" s="2"/>
      <c r="F58" s="6">
        <f t="shared" si="4"/>
        <v>5.6018647840145128E-3</v>
      </c>
      <c r="G58" s="2"/>
      <c r="H58" s="2">
        <f>SUM(OSRRefH22_6x_0)</f>
        <v>15500</v>
      </c>
      <c r="I58" s="2"/>
      <c r="J58" s="6">
        <f t="shared" si="5"/>
        <v>2.5628306878306879E-2</v>
      </c>
      <c r="K58" s="2"/>
      <c r="L58" s="2">
        <f t="shared" si="6"/>
        <v>-11637.54</v>
      </c>
      <c r="M58" s="2"/>
      <c r="N58" s="6">
        <f t="shared" si="7"/>
        <v>-0.75080903225806461</v>
      </c>
      <c r="O58" s="14"/>
      <c r="P58" s="2">
        <f>SUM(OSRRefP22_6x_0)</f>
        <v>70553.73</v>
      </c>
      <c r="Q58" s="2"/>
      <c r="R58" s="6">
        <f t="shared" si="8"/>
        <v>6.0740794653177978E-3</v>
      </c>
      <c r="S58" s="2"/>
      <c r="T58" s="2">
        <f>SUM(OSRRefT22_6x_0)</f>
        <v>155000</v>
      </c>
      <c r="U58" s="2"/>
      <c r="V58" s="6">
        <f t="shared" si="9"/>
        <v>1.74738455988456E-2</v>
      </c>
      <c r="W58" s="2"/>
      <c r="X58" s="2">
        <f t="shared" si="10"/>
        <v>-84446.27</v>
      </c>
      <c r="Y58" s="2"/>
      <c r="Z58" s="6">
        <f t="shared" si="11"/>
        <v>-0.5448146451612903</v>
      </c>
    </row>
    <row r="59" spans="1:26" s="70" customFormat="1" ht="15" hidden="1" customHeight="1" outlineLevel="2" x14ac:dyDescent="0.25">
      <c r="A59" s="25"/>
      <c r="B59" s="12" t="str">
        <f>CONCATENATE("          ","6399"," - ","DONATION-ON CAMPUS")</f>
        <v xml:space="preserve">          6399 - DONATION-ON CAMPUS</v>
      </c>
      <c r="C59" s="12"/>
      <c r="D59" s="8">
        <v>3862.46</v>
      </c>
      <c r="E59" s="3"/>
      <c r="F59" s="7">
        <f t="shared" ref="F59:F90" si="12">IF(D$12=0,0,D59/D$12)</f>
        <v>5.6018647840145128E-3</v>
      </c>
      <c r="G59" s="3"/>
      <c r="H59" s="8">
        <v>15500</v>
      </c>
      <c r="I59" s="3"/>
      <c r="J59" s="7">
        <f t="shared" ref="J59:J90" si="13">IF(H$12=0,0,H59/H$12)</f>
        <v>2.5628306878306879E-2</v>
      </c>
      <c r="K59" s="3"/>
      <c r="L59" s="8">
        <f t="shared" ref="L59:L90" si="14">+D59-H59</f>
        <v>-11637.54</v>
      </c>
      <c r="M59" s="3"/>
      <c r="N59" s="7">
        <f t="shared" ref="N59:N90" si="15">IF(H59=0,0,L59/H59)</f>
        <v>-0.75080903225806461</v>
      </c>
      <c r="O59" s="12"/>
      <c r="P59" s="8">
        <v>70553.73</v>
      </c>
      <c r="Q59" s="3"/>
      <c r="R59" s="7">
        <f t="shared" ref="R59:R90" si="16">IF(P$12=0,0,P59/P$12)</f>
        <v>6.0740794653177978E-3</v>
      </c>
      <c r="S59" s="3"/>
      <c r="T59" s="8">
        <v>155000</v>
      </c>
      <c r="U59" s="3"/>
      <c r="V59" s="7">
        <f t="shared" ref="V59:V90" si="17">IF(T$12=0,0,T59/T$12)</f>
        <v>1.74738455988456E-2</v>
      </c>
      <c r="W59" s="3"/>
      <c r="X59" s="8">
        <f t="shared" ref="X59:X90" si="18">+P59-T59</f>
        <v>-84446.27</v>
      </c>
      <c r="Y59" s="3"/>
      <c r="Z59" s="7">
        <f t="shared" ref="Z59:Z90" si="19">IF(T59=0,0,X59/T59)</f>
        <v>-0.5448146451612903</v>
      </c>
    </row>
    <row r="60" spans="1:26" s="69" customFormat="1" ht="15" customHeight="1" outlineLevel="1" collapsed="1" x14ac:dyDescent="0.25">
      <c r="A60" s="26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SUM(OSRRefD22_7x_0)</f>
        <v>0</v>
      </c>
      <c r="E60" s="2"/>
      <c r="F60" s="6">
        <f t="shared" si="12"/>
        <v>0</v>
      </c>
      <c r="G60" s="2"/>
      <c r="H60" s="2">
        <f>SUM(OSRRefH22_7x_0)</f>
        <v>400</v>
      </c>
      <c r="I60" s="2"/>
      <c r="J60" s="6">
        <f t="shared" si="13"/>
        <v>6.6137566137566134E-4</v>
      </c>
      <c r="K60" s="2"/>
      <c r="L60" s="2">
        <f t="shared" si="14"/>
        <v>-400</v>
      </c>
      <c r="M60" s="2"/>
      <c r="N60" s="6">
        <f t="shared" si="15"/>
        <v>-1</v>
      </c>
      <c r="O60" s="14"/>
      <c r="P60" s="2">
        <f>SUM(OSRRefP22_7x_0)</f>
        <v>325.70999999999998</v>
      </c>
      <c r="Q60" s="2"/>
      <c r="R60" s="6">
        <f t="shared" si="16"/>
        <v>2.8040876402263349E-5</v>
      </c>
      <c r="S60" s="2"/>
      <c r="T60" s="2">
        <f>SUM(OSRRefT22_7x_0)</f>
        <v>2900</v>
      </c>
      <c r="U60" s="2"/>
      <c r="V60" s="6">
        <f t="shared" si="17"/>
        <v>3.2693001443001444E-4</v>
      </c>
      <c r="W60" s="2"/>
      <c r="X60" s="2">
        <f t="shared" si="18"/>
        <v>-2574.29</v>
      </c>
      <c r="Y60" s="2"/>
      <c r="Z60" s="6">
        <f t="shared" si="19"/>
        <v>-0.88768620689655175</v>
      </c>
    </row>
    <row r="61" spans="1:26" s="70" customFormat="1" ht="15" hidden="1" customHeight="1" outlineLevel="2" x14ac:dyDescent="0.25">
      <c r="A61" s="25"/>
      <c r="B61" s="12" t="str">
        <f>CONCATENATE("          ","6277"," - ","EMPLOYEE APPRECIATION")</f>
        <v xml:space="preserve">          6277 - EMPLOYEE APPRECIATION</v>
      </c>
      <c r="C61" s="12"/>
      <c r="D61" s="8"/>
      <c r="E61" s="3"/>
      <c r="F61" s="7">
        <f t="shared" si="12"/>
        <v>0</v>
      </c>
      <c r="G61" s="3"/>
      <c r="H61" s="8">
        <v>400</v>
      </c>
      <c r="I61" s="3"/>
      <c r="J61" s="7">
        <f t="shared" si="13"/>
        <v>6.6137566137566134E-4</v>
      </c>
      <c r="K61" s="3"/>
      <c r="L61" s="8">
        <f t="shared" si="14"/>
        <v>-400</v>
      </c>
      <c r="M61" s="3"/>
      <c r="N61" s="7">
        <f t="shared" si="15"/>
        <v>-1</v>
      </c>
      <c r="O61" s="12"/>
      <c r="P61" s="8">
        <v>325.70999999999998</v>
      </c>
      <c r="Q61" s="3"/>
      <c r="R61" s="7">
        <f t="shared" si="16"/>
        <v>2.8040876402263349E-5</v>
      </c>
      <c r="S61" s="3"/>
      <c r="T61" s="8">
        <v>2900</v>
      </c>
      <c r="U61" s="3"/>
      <c r="V61" s="7">
        <f t="shared" si="17"/>
        <v>3.2693001443001444E-4</v>
      </c>
      <c r="W61" s="3"/>
      <c r="X61" s="8">
        <f t="shared" si="18"/>
        <v>-2574.29</v>
      </c>
      <c r="Y61" s="3"/>
      <c r="Z61" s="7">
        <f t="shared" si="19"/>
        <v>-0.88768620689655175</v>
      </c>
    </row>
    <row r="62" spans="1:26" s="69" customFormat="1" ht="15" customHeight="1" outlineLevel="1" collapsed="1" x14ac:dyDescent="0.25">
      <c r="A62" s="26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SUM(OSRRefD22_8x_0)</f>
        <v>467.12</v>
      </c>
      <c r="E62" s="2"/>
      <c r="F62" s="6">
        <f t="shared" si="12"/>
        <v>6.7748095201215265E-4</v>
      </c>
      <c r="G62" s="2"/>
      <c r="H62" s="2">
        <f>SUM(OSRRefH22_8x_0)</f>
        <v>795</v>
      </c>
      <c r="I62" s="2"/>
      <c r="J62" s="6">
        <f t="shared" si="13"/>
        <v>1.3144841269841271E-3</v>
      </c>
      <c r="K62" s="2"/>
      <c r="L62" s="2">
        <f t="shared" si="14"/>
        <v>-327.88</v>
      </c>
      <c r="M62" s="2"/>
      <c r="N62" s="6">
        <f t="shared" si="15"/>
        <v>-0.41242767295597482</v>
      </c>
      <c r="O62" s="14"/>
      <c r="P62" s="2">
        <f>SUM(OSRRefP22_8x_0)</f>
        <v>11245.01</v>
      </c>
      <c r="Q62" s="2"/>
      <c r="R62" s="6">
        <f t="shared" si="16"/>
        <v>9.6810025959355082E-4</v>
      </c>
      <c r="S62" s="2"/>
      <c r="T62" s="2">
        <f>SUM(OSRRefT22_8x_0)</f>
        <v>8745</v>
      </c>
      <c r="U62" s="2"/>
      <c r="V62" s="6">
        <f t="shared" si="17"/>
        <v>9.8586309523809521E-4</v>
      </c>
      <c r="W62" s="2"/>
      <c r="X62" s="2">
        <f t="shared" si="18"/>
        <v>2500.0100000000002</v>
      </c>
      <c r="Y62" s="2"/>
      <c r="Z62" s="6">
        <f t="shared" si="19"/>
        <v>0.2858787878787879</v>
      </c>
    </row>
    <row r="63" spans="1:26" s="70" customFormat="1" ht="15" hidden="1" customHeight="1" outlineLevel="2" x14ac:dyDescent="0.25">
      <c r="A63" s="25"/>
      <c r="B63" s="12" t="str">
        <f>CONCATENATE("          ","6351"," - ","EQUIPMENT RENTAL")</f>
        <v xml:space="preserve">          6351 - EQUIPMENT RENTAL</v>
      </c>
      <c r="C63" s="12"/>
      <c r="D63" s="8">
        <v>467.12</v>
      </c>
      <c r="E63" s="3"/>
      <c r="F63" s="7">
        <f t="shared" si="12"/>
        <v>6.7748095201215265E-4</v>
      </c>
      <c r="G63" s="3"/>
      <c r="H63" s="8">
        <v>795</v>
      </c>
      <c r="I63" s="3"/>
      <c r="J63" s="7">
        <f t="shared" si="13"/>
        <v>1.3144841269841271E-3</v>
      </c>
      <c r="K63" s="3"/>
      <c r="L63" s="8">
        <f t="shared" si="14"/>
        <v>-327.88</v>
      </c>
      <c r="M63" s="3"/>
      <c r="N63" s="7">
        <f t="shared" si="15"/>
        <v>-0.41242767295597482</v>
      </c>
      <c r="O63" s="12"/>
      <c r="P63" s="8">
        <v>11245.01</v>
      </c>
      <c r="Q63" s="3"/>
      <c r="R63" s="7">
        <f t="shared" si="16"/>
        <v>9.6810025959355082E-4</v>
      </c>
      <c r="S63" s="3"/>
      <c r="T63" s="8">
        <v>8745</v>
      </c>
      <c r="U63" s="3"/>
      <c r="V63" s="7">
        <f t="shared" si="17"/>
        <v>9.8586309523809521E-4</v>
      </c>
      <c r="W63" s="3"/>
      <c r="X63" s="8">
        <f t="shared" si="18"/>
        <v>2500.0100000000002</v>
      </c>
      <c r="Y63" s="3"/>
      <c r="Z63" s="7">
        <f t="shared" si="19"/>
        <v>0.2858787878787879</v>
      </c>
    </row>
    <row r="64" spans="1:26" s="69" customFormat="1" ht="15" customHeight="1" outlineLevel="1" collapsed="1" x14ac:dyDescent="0.25">
      <c r="A64" s="26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SUM(OSRRefD22_9x_0)</f>
        <v>43.2</v>
      </c>
      <c r="E64" s="2"/>
      <c r="F64" s="6">
        <f t="shared" si="12"/>
        <v>6.2654515171529785E-5</v>
      </c>
      <c r="G64" s="2"/>
      <c r="H64" s="2">
        <f>SUM(OSRRefH22_9x_0)</f>
        <v>540</v>
      </c>
      <c r="I64" s="2"/>
      <c r="J64" s="6">
        <f t="shared" si="13"/>
        <v>8.9285714285714283E-4</v>
      </c>
      <c r="K64" s="2"/>
      <c r="L64" s="2">
        <f t="shared" si="14"/>
        <v>-496.8</v>
      </c>
      <c r="M64" s="2"/>
      <c r="N64" s="6">
        <f t="shared" si="15"/>
        <v>-0.92</v>
      </c>
      <c r="O64" s="14"/>
      <c r="P64" s="2">
        <f>SUM(OSRRefP22_9x_0)</f>
        <v>19546.91</v>
      </c>
      <c r="Q64" s="2"/>
      <c r="R64" s="6">
        <f t="shared" si="16"/>
        <v>1.6828236386852277E-3</v>
      </c>
      <c r="S64" s="2"/>
      <c r="T64" s="2">
        <f>SUM(OSRRefT22_9x_0)</f>
        <v>11410</v>
      </c>
      <c r="U64" s="2"/>
      <c r="V64" s="6">
        <f t="shared" si="17"/>
        <v>1.2863005050505051E-3</v>
      </c>
      <c r="W64" s="2"/>
      <c r="X64" s="2">
        <f t="shared" si="18"/>
        <v>8136.91</v>
      </c>
      <c r="Y64" s="2"/>
      <c r="Z64" s="6">
        <f t="shared" si="19"/>
        <v>0.71313847502191063</v>
      </c>
    </row>
    <row r="65" spans="1:26" s="70" customFormat="1" ht="15" hidden="1" customHeight="1" outlineLevel="2" x14ac:dyDescent="0.25">
      <c r="A65" s="25"/>
      <c r="B65" s="12" t="str">
        <f>CONCATENATE("          ","6279"," - ","GENERAL EXPENSE")</f>
        <v xml:space="preserve">          6279 - GENERAL EXPENSE</v>
      </c>
      <c r="C65" s="12"/>
      <c r="D65" s="8">
        <v>43.2</v>
      </c>
      <c r="E65" s="3"/>
      <c r="F65" s="7">
        <f t="shared" si="12"/>
        <v>6.2654515171529785E-5</v>
      </c>
      <c r="G65" s="3"/>
      <c r="H65" s="8">
        <v>540</v>
      </c>
      <c r="I65" s="3"/>
      <c r="J65" s="7">
        <f t="shared" si="13"/>
        <v>8.9285714285714283E-4</v>
      </c>
      <c r="K65" s="3"/>
      <c r="L65" s="8">
        <f t="shared" si="14"/>
        <v>-496.8</v>
      </c>
      <c r="M65" s="3"/>
      <c r="N65" s="7">
        <f t="shared" si="15"/>
        <v>-0.92</v>
      </c>
      <c r="O65" s="12"/>
      <c r="P65" s="8">
        <v>19546.91</v>
      </c>
      <c r="Q65" s="3"/>
      <c r="R65" s="7">
        <f t="shared" si="16"/>
        <v>1.6828236386852277E-3</v>
      </c>
      <c r="S65" s="3"/>
      <c r="T65" s="8">
        <v>11410</v>
      </c>
      <c r="U65" s="3"/>
      <c r="V65" s="7">
        <f t="shared" si="17"/>
        <v>1.2863005050505051E-3</v>
      </c>
      <c r="W65" s="3"/>
      <c r="X65" s="8">
        <f t="shared" si="18"/>
        <v>8136.91</v>
      </c>
      <c r="Y65" s="3"/>
      <c r="Z65" s="7">
        <f t="shared" si="19"/>
        <v>0.71313847502191063</v>
      </c>
    </row>
    <row r="66" spans="1:26" s="69" customFormat="1" ht="15" customHeight="1" outlineLevel="1" collapsed="1" x14ac:dyDescent="0.25">
      <c r="A66" s="26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SUM(OSRRefD22_10x_0)</f>
        <v>5.21</v>
      </c>
      <c r="E66" s="2"/>
      <c r="F66" s="6">
        <f t="shared" si="12"/>
        <v>7.5562505565664395E-6</v>
      </c>
      <c r="G66" s="2"/>
      <c r="H66" s="2">
        <f>SUM(OSRRefH22_10x_0)</f>
        <v>10</v>
      </c>
      <c r="I66" s="2"/>
      <c r="J66" s="6">
        <f t="shared" si="13"/>
        <v>1.6534391534391536E-5</v>
      </c>
      <c r="K66" s="2"/>
      <c r="L66" s="2">
        <f t="shared" si="14"/>
        <v>-4.79</v>
      </c>
      <c r="M66" s="2"/>
      <c r="N66" s="6">
        <f t="shared" si="15"/>
        <v>-0.47899999999999998</v>
      </c>
      <c r="O66" s="14"/>
      <c r="P66" s="2">
        <f>SUM(OSRRefP22_10x_0)</f>
        <v>57.32</v>
      </c>
      <c r="Q66" s="2"/>
      <c r="R66" s="6">
        <f t="shared" si="16"/>
        <v>4.9347672327461093E-6</v>
      </c>
      <c r="S66" s="2"/>
      <c r="T66" s="2">
        <f>SUM(OSRRefT22_10x_0)</f>
        <v>110</v>
      </c>
      <c r="U66" s="2"/>
      <c r="V66" s="6">
        <f t="shared" si="17"/>
        <v>1.2400793650793651E-5</v>
      </c>
      <c r="W66" s="2"/>
      <c r="X66" s="2">
        <f t="shared" si="18"/>
        <v>-52.68</v>
      </c>
      <c r="Y66" s="2"/>
      <c r="Z66" s="6">
        <f t="shared" si="19"/>
        <v>-0.4789090909090909</v>
      </c>
    </row>
    <row r="67" spans="1:26" s="70" customFormat="1" ht="15" hidden="1" customHeight="1" outlineLevel="2" x14ac:dyDescent="0.25">
      <c r="A67" s="25"/>
      <c r="B67" s="12" t="str">
        <f>CONCATENATE("          ","6314"," - ","LIABILITY INSURANCE")</f>
        <v xml:space="preserve">          6314 - LIABILITY INSURANCE</v>
      </c>
      <c r="C67" s="12"/>
      <c r="D67" s="8">
        <v>5.21</v>
      </c>
      <c r="E67" s="3"/>
      <c r="F67" s="7">
        <f t="shared" si="12"/>
        <v>7.5562505565664395E-6</v>
      </c>
      <c r="G67" s="3"/>
      <c r="H67" s="8">
        <v>10</v>
      </c>
      <c r="I67" s="3"/>
      <c r="J67" s="7">
        <f t="shared" si="13"/>
        <v>1.6534391534391536E-5</v>
      </c>
      <c r="K67" s="3"/>
      <c r="L67" s="8">
        <f t="shared" si="14"/>
        <v>-4.79</v>
      </c>
      <c r="M67" s="3"/>
      <c r="N67" s="7">
        <f t="shared" si="15"/>
        <v>-0.47899999999999998</v>
      </c>
      <c r="O67" s="12"/>
      <c r="P67" s="8">
        <v>57.32</v>
      </c>
      <c r="Q67" s="3"/>
      <c r="R67" s="7">
        <f t="shared" si="16"/>
        <v>4.9347672327461093E-6</v>
      </c>
      <c r="S67" s="3"/>
      <c r="T67" s="8">
        <v>110</v>
      </c>
      <c r="U67" s="3"/>
      <c r="V67" s="7">
        <f t="shared" si="17"/>
        <v>1.2400793650793651E-5</v>
      </c>
      <c r="W67" s="3"/>
      <c r="X67" s="8">
        <f t="shared" si="18"/>
        <v>-52.68</v>
      </c>
      <c r="Y67" s="3"/>
      <c r="Z67" s="7">
        <f t="shared" si="19"/>
        <v>-0.4789090909090909</v>
      </c>
    </row>
    <row r="68" spans="1:26" s="69" customFormat="1" ht="15" customHeight="1" outlineLevel="1" collapsed="1" x14ac:dyDescent="0.25">
      <c r="A68" s="26"/>
      <c r="B68" s="14" t="str">
        <f>CONCATENATE("     ","R/H Commissions                                   ")</f>
        <v xml:space="preserve">     R/H Commissions                                   </v>
      </c>
      <c r="C68" s="14"/>
      <c r="D68" s="2">
        <f>SUM(OSRRefD22_11x_0)</f>
        <v>56038.67</v>
      </c>
      <c r="E68" s="2"/>
      <c r="F68" s="6">
        <f t="shared" si="12"/>
        <v>8.1274900456188681E-2</v>
      </c>
      <c r="G68" s="2"/>
      <c r="H68" s="2">
        <f>SUM(OSRRefH22_11x_0)</f>
        <v>44064</v>
      </c>
      <c r="I68" s="2"/>
      <c r="J68" s="6">
        <f t="shared" si="13"/>
        <v>7.2857142857142856E-2</v>
      </c>
      <c r="K68" s="2"/>
      <c r="L68" s="2">
        <f t="shared" si="14"/>
        <v>11974.669999999998</v>
      </c>
      <c r="M68" s="2"/>
      <c r="N68" s="6">
        <f t="shared" si="15"/>
        <v>0.27175630900508346</v>
      </c>
      <c r="O68" s="14"/>
      <c r="P68" s="2">
        <f>SUM(OSRRefP22_11x_0)</f>
        <v>912239.08</v>
      </c>
      <c r="Q68" s="2"/>
      <c r="R68" s="6">
        <f t="shared" si="16"/>
        <v>7.8536069790901192E-2</v>
      </c>
      <c r="S68" s="2"/>
      <c r="T68" s="2">
        <f>SUM(OSRRefT22_11x_0)</f>
        <v>703152</v>
      </c>
      <c r="U68" s="2"/>
      <c r="V68" s="6">
        <f t="shared" si="17"/>
        <v>7.9269480519480517E-2</v>
      </c>
      <c r="W68" s="2"/>
      <c r="X68" s="2">
        <f t="shared" si="18"/>
        <v>209087.07999999996</v>
      </c>
      <c r="Y68" s="2"/>
      <c r="Z68" s="6">
        <f t="shared" si="19"/>
        <v>0.29735687305163033</v>
      </c>
    </row>
    <row r="69" spans="1:26" s="70" customFormat="1" ht="15" hidden="1" customHeight="1" outlineLevel="2" x14ac:dyDescent="0.25">
      <c r="A69" s="25"/>
      <c r="B69" s="12" t="str">
        <f>CONCATENATE("          ","6387"," - ","COMMISSION DUE HOUSING")</f>
        <v xml:space="preserve">          6387 - COMMISSION DUE HOUSING</v>
      </c>
      <c r="C69" s="12"/>
      <c r="D69" s="8">
        <v>56038.67</v>
      </c>
      <c r="E69" s="3"/>
      <c r="F69" s="7">
        <f t="shared" si="12"/>
        <v>8.1274900456188681E-2</v>
      </c>
      <c r="G69" s="3"/>
      <c r="H69" s="8">
        <v>44064</v>
      </c>
      <c r="I69" s="3"/>
      <c r="J69" s="7">
        <f t="shared" si="13"/>
        <v>7.2857142857142856E-2</v>
      </c>
      <c r="K69" s="3"/>
      <c r="L69" s="8">
        <f t="shared" si="14"/>
        <v>11974.669999999998</v>
      </c>
      <c r="M69" s="3"/>
      <c r="N69" s="7">
        <f t="shared" si="15"/>
        <v>0.27175630900508346</v>
      </c>
      <c r="O69" s="12"/>
      <c r="P69" s="8">
        <v>912239.08</v>
      </c>
      <c r="Q69" s="3"/>
      <c r="R69" s="7">
        <f t="shared" si="16"/>
        <v>7.8536069790901192E-2</v>
      </c>
      <c r="S69" s="3"/>
      <c r="T69" s="8">
        <v>703152</v>
      </c>
      <c r="U69" s="3"/>
      <c r="V69" s="7">
        <f t="shared" si="17"/>
        <v>7.9269480519480517E-2</v>
      </c>
      <c r="W69" s="3"/>
      <c r="X69" s="8">
        <f t="shared" si="18"/>
        <v>209087.07999999996</v>
      </c>
      <c r="Y69" s="3"/>
      <c r="Z69" s="7">
        <f t="shared" si="19"/>
        <v>0.29735687305163033</v>
      </c>
    </row>
    <row r="70" spans="1:26" s="69" customFormat="1" ht="15" customHeight="1" outlineLevel="1" collapsed="1" x14ac:dyDescent="0.25">
      <c r="A70" s="26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SUM(OSRRefD22_12x_0)</f>
        <v>3755.77</v>
      </c>
      <c r="E70" s="2"/>
      <c r="F70" s="6">
        <f t="shared" si="12"/>
        <v>5.4471284362448249E-3</v>
      </c>
      <c r="G70" s="2"/>
      <c r="H70" s="2">
        <f>SUM(OSRRefH22_12x_0)</f>
        <v>5850</v>
      </c>
      <c r="I70" s="2"/>
      <c r="J70" s="6">
        <f t="shared" si="13"/>
        <v>9.6726190476190479E-3</v>
      </c>
      <c r="K70" s="2"/>
      <c r="L70" s="2">
        <f t="shared" si="14"/>
        <v>-2094.23</v>
      </c>
      <c r="M70" s="2"/>
      <c r="N70" s="6">
        <f t="shared" si="15"/>
        <v>-0.35798803418803421</v>
      </c>
      <c r="O70" s="14"/>
      <c r="P70" s="2">
        <f>SUM(OSRRefP22_12x_0)</f>
        <v>50649.29</v>
      </c>
      <c r="Q70" s="2"/>
      <c r="R70" s="6">
        <f t="shared" si="16"/>
        <v>4.3604755173387161E-3</v>
      </c>
      <c r="S70" s="2"/>
      <c r="T70" s="2">
        <f>SUM(OSRRefT22_12x_0)</f>
        <v>62250</v>
      </c>
      <c r="U70" s="2"/>
      <c r="V70" s="6">
        <f t="shared" si="17"/>
        <v>7.0177218614718611E-3</v>
      </c>
      <c r="W70" s="2"/>
      <c r="X70" s="2">
        <f t="shared" si="18"/>
        <v>-11600.71</v>
      </c>
      <c r="Y70" s="2"/>
      <c r="Z70" s="6">
        <f t="shared" si="19"/>
        <v>-0.18635678714859436</v>
      </c>
    </row>
    <row r="71" spans="1:26" s="70" customFormat="1" ht="15" hidden="1" customHeight="1" outlineLevel="2" x14ac:dyDescent="0.25">
      <c r="A71" s="25"/>
      <c r="B71" s="12" t="str">
        <f>CONCATENATE("          ","6371"," - ","COMPUTER SOFTWARE MAINTENANCE")</f>
        <v xml:space="preserve">          6371 - COMPUTER SOFTWARE MAINTENANCE</v>
      </c>
      <c r="C71" s="12"/>
      <c r="D71" s="8">
        <v>3500</v>
      </c>
      <c r="E71" s="3"/>
      <c r="F71" s="7">
        <f t="shared" si="12"/>
        <v>5.0761759976933859E-3</v>
      </c>
      <c r="G71" s="3"/>
      <c r="H71" s="8">
        <v>3500</v>
      </c>
      <c r="I71" s="3"/>
      <c r="J71" s="7">
        <f t="shared" si="13"/>
        <v>5.7870370370370367E-3</v>
      </c>
      <c r="K71" s="3"/>
      <c r="L71" s="8">
        <f t="shared" si="14"/>
        <v>0</v>
      </c>
      <c r="M71" s="3"/>
      <c r="N71" s="7">
        <f t="shared" si="15"/>
        <v>0</v>
      </c>
      <c r="O71" s="12"/>
      <c r="P71" s="8">
        <v>38500</v>
      </c>
      <c r="Q71" s="3"/>
      <c r="R71" s="7">
        <f t="shared" si="16"/>
        <v>3.3145243974306562E-3</v>
      </c>
      <c r="S71" s="3"/>
      <c r="T71" s="8">
        <v>38500</v>
      </c>
      <c r="U71" s="3"/>
      <c r="V71" s="7">
        <f t="shared" si="17"/>
        <v>4.340277777777778E-3</v>
      </c>
      <c r="W71" s="3"/>
      <c r="X71" s="8">
        <f t="shared" si="18"/>
        <v>0</v>
      </c>
      <c r="Y71" s="3"/>
      <c r="Z71" s="7">
        <f t="shared" si="19"/>
        <v>0</v>
      </c>
    </row>
    <row r="72" spans="1:26" s="70" customFormat="1" ht="15" hidden="1" customHeight="1" outlineLevel="2" x14ac:dyDescent="0.25">
      <c r="A72" s="25"/>
      <c r="B72" s="12" t="str">
        <f>CONCATENATE("          ","6373"," - ","MAINTENANCE CONTRACTS")</f>
        <v xml:space="preserve">          6373 - MAINTENANCE CONTRACTS</v>
      </c>
      <c r="C72" s="12"/>
      <c r="D72" s="8">
        <v>5.77</v>
      </c>
      <c r="E72" s="3"/>
      <c r="F72" s="7">
        <f t="shared" si="12"/>
        <v>8.3684387161973803E-6</v>
      </c>
      <c r="G72" s="3"/>
      <c r="H72" s="8">
        <v>1800</v>
      </c>
      <c r="I72" s="3"/>
      <c r="J72" s="7">
        <f t="shared" si="13"/>
        <v>2.976190476190476E-3</v>
      </c>
      <c r="K72" s="3"/>
      <c r="L72" s="8">
        <f t="shared" si="14"/>
        <v>-1794.23</v>
      </c>
      <c r="M72" s="3"/>
      <c r="N72" s="7">
        <f t="shared" si="15"/>
        <v>-0.99679444444444443</v>
      </c>
      <c r="O72" s="12"/>
      <c r="P72" s="8">
        <v>4491.6400000000003</v>
      </c>
      <c r="Q72" s="3"/>
      <c r="R72" s="7">
        <f t="shared" si="16"/>
        <v>3.8669221725910215E-4</v>
      </c>
      <c r="S72" s="3"/>
      <c r="T72" s="8">
        <v>17700</v>
      </c>
      <c r="U72" s="3"/>
      <c r="V72" s="7">
        <f t="shared" si="17"/>
        <v>1.995400432900433E-3</v>
      </c>
      <c r="W72" s="3"/>
      <c r="X72" s="8">
        <f t="shared" si="18"/>
        <v>-13208.36</v>
      </c>
      <c r="Y72" s="3"/>
      <c r="Z72" s="7">
        <f t="shared" si="19"/>
        <v>-0.74623502824858756</v>
      </c>
    </row>
    <row r="73" spans="1:26" s="70" customFormat="1" ht="15" hidden="1" customHeight="1" outlineLevel="2" x14ac:dyDescent="0.25">
      <c r="A73" s="25"/>
      <c r="B73" s="12" t="str">
        <f>CONCATENATE("          ","6375"," - ","OUTSIDE REPAIRS &amp; MAINTENANCE")</f>
        <v xml:space="preserve">          6375 - OUTSIDE REPAIRS &amp; MAINTENANCE</v>
      </c>
      <c r="C73" s="12"/>
      <c r="D73" s="8">
        <v>250</v>
      </c>
      <c r="E73" s="3"/>
      <c r="F73" s="7">
        <f t="shared" si="12"/>
        <v>3.6258399983524182E-4</v>
      </c>
      <c r="G73" s="3"/>
      <c r="H73" s="8">
        <v>550</v>
      </c>
      <c r="I73" s="3"/>
      <c r="J73" s="7">
        <f t="shared" si="13"/>
        <v>9.0939153439153434E-4</v>
      </c>
      <c r="K73" s="3"/>
      <c r="L73" s="8">
        <f t="shared" si="14"/>
        <v>-300</v>
      </c>
      <c r="M73" s="3"/>
      <c r="N73" s="7">
        <f t="shared" si="15"/>
        <v>-0.54545454545454541</v>
      </c>
      <c r="O73" s="12"/>
      <c r="P73" s="8">
        <v>7657.65</v>
      </c>
      <c r="Q73" s="3"/>
      <c r="R73" s="7">
        <f t="shared" si="16"/>
        <v>6.5925890264895745E-4</v>
      </c>
      <c r="S73" s="3"/>
      <c r="T73" s="8">
        <v>6050</v>
      </c>
      <c r="U73" s="3"/>
      <c r="V73" s="7">
        <f t="shared" si="17"/>
        <v>6.8204365079365076E-4</v>
      </c>
      <c r="W73" s="3"/>
      <c r="X73" s="8">
        <f t="shared" si="18"/>
        <v>1607.6499999999996</v>
      </c>
      <c r="Y73" s="3"/>
      <c r="Z73" s="7">
        <f t="shared" si="19"/>
        <v>0.26572727272727265</v>
      </c>
    </row>
    <row r="74" spans="1:26" s="69" customFormat="1" ht="15" customHeight="1" outlineLevel="1" collapsed="1" x14ac:dyDescent="0.25">
      <c r="A74" s="26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SUM(OSRRefD22_13x_0)</f>
        <v>15684.5</v>
      </c>
      <c r="E74" s="2"/>
      <c r="F74" s="6">
        <f t="shared" si="12"/>
        <v>2.2747794981663402E-2</v>
      </c>
      <c r="G74" s="2"/>
      <c r="H74" s="2">
        <f>SUM(OSRRefH22_13x_0)</f>
        <v>21796</v>
      </c>
      <c r="I74" s="2"/>
      <c r="J74" s="6">
        <f t="shared" si="13"/>
        <v>3.6038359788359786E-2</v>
      </c>
      <c r="K74" s="2"/>
      <c r="L74" s="2">
        <f t="shared" si="14"/>
        <v>-6111.5</v>
      </c>
      <c r="M74" s="2"/>
      <c r="N74" s="6">
        <f t="shared" si="15"/>
        <v>-0.28039548541016701</v>
      </c>
      <c r="O74" s="14"/>
      <c r="P74" s="2">
        <f>SUM(OSRRefP22_13x_0)</f>
        <v>191310.54</v>
      </c>
      <c r="Q74" s="2"/>
      <c r="R74" s="6">
        <f t="shared" si="16"/>
        <v>1.6470219540665805E-2</v>
      </c>
      <c r="S74" s="2"/>
      <c r="T74" s="2">
        <f>SUM(OSRRefT22_13x_0)</f>
        <v>235012</v>
      </c>
      <c r="U74" s="2"/>
      <c r="V74" s="6">
        <f t="shared" si="17"/>
        <v>2.6493957431457431E-2</v>
      </c>
      <c r="W74" s="2"/>
      <c r="X74" s="2">
        <f t="shared" si="18"/>
        <v>-43701.459999999992</v>
      </c>
      <c r="Y74" s="2"/>
      <c r="Z74" s="6">
        <f t="shared" si="19"/>
        <v>-0.18595416404268714</v>
      </c>
    </row>
    <row r="75" spans="1:26" s="70" customFormat="1" ht="15" hidden="1" customHeight="1" outlineLevel="2" x14ac:dyDescent="0.25">
      <c r="A75" s="25"/>
      <c r="B75" s="12" t="str">
        <f>CONCATENATE("          ","6282"," - ","JANITORIAL/EXTERMINATOR EXPENS")</f>
        <v xml:space="preserve">          6282 - JANITORIAL/EXTERMINATOR EXPENS</v>
      </c>
      <c r="C75" s="12"/>
      <c r="D75" s="8">
        <v>1644.15</v>
      </c>
      <c r="E75" s="3"/>
      <c r="F75" s="7">
        <f t="shared" si="12"/>
        <v>2.3845699333164515E-3</v>
      </c>
      <c r="G75" s="3"/>
      <c r="H75" s="8">
        <v>1570</v>
      </c>
      <c r="I75" s="3"/>
      <c r="J75" s="7">
        <f t="shared" si="13"/>
        <v>2.5958994708994709E-3</v>
      </c>
      <c r="K75" s="3"/>
      <c r="L75" s="8">
        <f t="shared" si="14"/>
        <v>74.150000000000091</v>
      </c>
      <c r="M75" s="3"/>
      <c r="N75" s="7">
        <f t="shared" si="15"/>
        <v>4.7229299363057385E-2</v>
      </c>
      <c r="O75" s="12"/>
      <c r="P75" s="8">
        <v>18527.32</v>
      </c>
      <c r="Q75" s="3"/>
      <c r="R75" s="7">
        <f t="shared" si="16"/>
        <v>1.5950455625715571E-3</v>
      </c>
      <c r="S75" s="3"/>
      <c r="T75" s="8">
        <v>17270</v>
      </c>
      <c r="U75" s="3"/>
      <c r="V75" s="7">
        <f t="shared" si="17"/>
        <v>1.9469246031746032E-3</v>
      </c>
      <c r="W75" s="3"/>
      <c r="X75" s="8">
        <f t="shared" si="18"/>
        <v>1257.3199999999997</v>
      </c>
      <c r="Y75" s="3"/>
      <c r="Z75" s="7">
        <f t="shared" si="19"/>
        <v>7.2803705848291822E-2</v>
      </c>
    </row>
    <row r="76" spans="1:26" s="70" customFormat="1" ht="15" hidden="1" customHeight="1" outlineLevel="2" x14ac:dyDescent="0.25">
      <c r="A76" s="25"/>
      <c r="B76" s="12" t="str">
        <f>CONCATENATE("          ","6284"," - ","TRASH REMOVAL EXPENSE")</f>
        <v xml:space="preserve">          6284 - TRASH REMOVAL EXPENSE</v>
      </c>
      <c r="C76" s="12"/>
      <c r="D76" s="8"/>
      <c r="E76" s="3"/>
      <c r="F76" s="7">
        <f t="shared" si="12"/>
        <v>0</v>
      </c>
      <c r="G76" s="3"/>
      <c r="H76" s="8">
        <v>600</v>
      </c>
      <c r="I76" s="3"/>
      <c r="J76" s="7">
        <f t="shared" si="13"/>
        <v>9.9206349206349201E-4</v>
      </c>
      <c r="K76" s="3"/>
      <c r="L76" s="8">
        <f t="shared" si="14"/>
        <v>-600</v>
      </c>
      <c r="M76" s="3"/>
      <c r="N76" s="7">
        <f t="shared" si="15"/>
        <v>-1</v>
      </c>
      <c r="O76" s="12"/>
      <c r="P76" s="8"/>
      <c r="Q76" s="3"/>
      <c r="R76" s="7">
        <f t="shared" si="16"/>
        <v>0</v>
      </c>
      <c r="S76" s="3"/>
      <c r="T76" s="8">
        <v>6600</v>
      </c>
      <c r="U76" s="3"/>
      <c r="V76" s="7">
        <f t="shared" si="17"/>
        <v>7.4404761904761901E-4</v>
      </c>
      <c r="W76" s="3"/>
      <c r="X76" s="8">
        <f t="shared" si="18"/>
        <v>-6600</v>
      </c>
      <c r="Y76" s="3"/>
      <c r="Z76" s="7">
        <f t="shared" si="19"/>
        <v>-1</v>
      </c>
    </row>
    <row r="77" spans="1:26" s="70" customFormat="1" ht="15" hidden="1" customHeight="1" outlineLevel="2" x14ac:dyDescent="0.25">
      <c r="A77" s="25"/>
      <c r="B77" s="12" t="str">
        <f>CONCATENATE("          ","6285"," - ","JANITORIAL SERVICES")</f>
        <v xml:space="preserve">          6285 - JANITORIAL SERVICES</v>
      </c>
      <c r="C77" s="12"/>
      <c r="D77" s="8">
        <v>10732.14</v>
      </c>
      <c r="E77" s="3"/>
      <c r="F77" s="7">
        <f t="shared" si="12"/>
        <v>1.5565208991967167E-2</v>
      </c>
      <c r="G77" s="3"/>
      <c r="H77" s="8">
        <v>14859</v>
      </c>
      <c r="I77" s="3"/>
      <c r="J77" s="7">
        <f t="shared" si="13"/>
        <v>2.4568452380952382E-2</v>
      </c>
      <c r="K77" s="3"/>
      <c r="L77" s="8">
        <f t="shared" si="14"/>
        <v>-4126.8600000000006</v>
      </c>
      <c r="M77" s="3"/>
      <c r="N77" s="7">
        <f t="shared" si="15"/>
        <v>-0.27773470623864327</v>
      </c>
      <c r="O77" s="12"/>
      <c r="P77" s="8">
        <v>140217.85</v>
      </c>
      <c r="Q77" s="3"/>
      <c r="R77" s="7">
        <f t="shared" si="16"/>
        <v>1.2071571033253823E-2</v>
      </c>
      <c r="S77" s="3"/>
      <c r="T77" s="8">
        <v>160305</v>
      </c>
      <c r="U77" s="3"/>
      <c r="V77" s="7">
        <f t="shared" si="17"/>
        <v>1.8071902056277057E-2</v>
      </c>
      <c r="W77" s="3"/>
      <c r="X77" s="8">
        <f t="shared" si="18"/>
        <v>-20087.149999999994</v>
      </c>
      <c r="Y77" s="3"/>
      <c r="Z77" s="7">
        <f t="shared" si="19"/>
        <v>-0.12530582327438317</v>
      </c>
    </row>
    <row r="78" spans="1:26" s="70" customFormat="1" ht="15" hidden="1" customHeight="1" outlineLevel="2" x14ac:dyDescent="0.25">
      <c r="A78" s="25"/>
      <c r="B78" s="12" t="str">
        <f>CONCATENATE("          ","6286"," - ","LAUNDRY EXPENSE")</f>
        <v xml:space="preserve">          6286 - LAUNDRY EXPENSE</v>
      </c>
      <c r="C78" s="12"/>
      <c r="D78" s="8">
        <v>3308.21</v>
      </c>
      <c r="E78" s="3"/>
      <c r="F78" s="7">
        <f t="shared" si="12"/>
        <v>4.7980160563797815E-3</v>
      </c>
      <c r="G78" s="3"/>
      <c r="H78" s="8">
        <v>4767</v>
      </c>
      <c r="I78" s="3"/>
      <c r="J78" s="7">
        <f t="shared" si="13"/>
        <v>7.8819444444444449E-3</v>
      </c>
      <c r="K78" s="3"/>
      <c r="L78" s="8">
        <f t="shared" si="14"/>
        <v>-1458.79</v>
      </c>
      <c r="M78" s="3"/>
      <c r="N78" s="7">
        <f t="shared" si="15"/>
        <v>-0.30601846024753515</v>
      </c>
      <c r="O78" s="12"/>
      <c r="P78" s="8">
        <v>32565.37</v>
      </c>
      <c r="Q78" s="3"/>
      <c r="R78" s="7">
        <f t="shared" si="16"/>
        <v>2.8036029448404252E-3</v>
      </c>
      <c r="S78" s="3"/>
      <c r="T78" s="8">
        <v>50837</v>
      </c>
      <c r="U78" s="3"/>
      <c r="V78" s="7">
        <f t="shared" si="17"/>
        <v>5.7310831529581528E-3</v>
      </c>
      <c r="W78" s="3"/>
      <c r="X78" s="8">
        <f t="shared" si="18"/>
        <v>-18271.63</v>
      </c>
      <c r="Y78" s="3"/>
      <c r="Z78" s="7">
        <f t="shared" si="19"/>
        <v>-0.35941597655251101</v>
      </c>
    </row>
    <row r="79" spans="1:26" s="69" customFormat="1" ht="15" customHeight="1" outlineLevel="1" collapsed="1" x14ac:dyDescent="0.25">
      <c r="A79" s="26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2">
        <f>SUM(OSRRefD22_14x_0)</f>
        <v>0</v>
      </c>
      <c r="E79" s="2"/>
      <c r="F79" s="6">
        <f t="shared" si="12"/>
        <v>0</v>
      </c>
      <c r="G79" s="2"/>
      <c r="H79" s="2">
        <f>SUM(OSRRefH22_14x_0)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SUM(OSRRefP22_14x_0)</f>
        <v>0</v>
      </c>
      <c r="Q79" s="2"/>
      <c r="R79" s="6">
        <f t="shared" si="16"/>
        <v>0</v>
      </c>
      <c r="S79" s="2"/>
      <c r="T79" s="2">
        <f>SUM(OSRRefT22_14x_0)</f>
        <v>795</v>
      </c>
      <c r="U79" s="2"/>
      <c r="V79" s="6">
        <f t="shared" si="17"/>
        <v>8.9623917748917747E-5</v>
      </c>
      <c r="W79" s="2"/>
      <c r="X79" s="2">
        <f t="shared" si="18"/>
        <v>-795</v>
      </c>
      <c r="Y79" s="2"/>
      <c r="Z79" s="6">
        <f t="shared" si="19"/>
        <v>-1</v>
      </c>
    </row>
    <row r="80" spans="1:26" s="70" customFormat="1" ht="15" hidden="1" customHeight="1" outlineLevel="2" x14ac:dyDescent="0.25">
      <c r="A80" s="25"/>
      <c r="B80" s="12" t="str">
        <f>CONCATENATE("          ","6258"," - ","MEMBERSHIP DUES")</f>
        <v xml:space="preserve">          6258 - MEMBERSHIP DUES</v>
      </c>
      <c r="C80" s="12"/>
      <c r="D80" s="8"/>
      <c r="E80" s="3"/>
      <c r="F80" s="7">
        <f t="shared" si="12"/>
        <v>0</v>
      </c>
      <c r="G80" s="3"/>
      <c r="H80" s="8"/>
      <c r="I80" s="3"/>
      <c r="J80" s="7">
        <f t="shared" si="13"/>
        <v>0</v>
      </c>
      <c r="K80" s="3"/>
      <c r="L80" s="8">
        <f t="shared" si="14"/>
        <v>0</v>
      </c>
      <c r="M80" s="3"/>
      <c r="N80" s="7">
        <f t="shared" si="15"/>
        <v>0</v>
      </c>
      <c r="O80" s="12"/>
      <c r="P80" s="8"/>
      <c r="Q80" s="3"/>
      <c r="R80" s="7">
        <f t="shared" si="16"/>
        <v>0</v>
      </c>
      <c r="S80" s="3"/>
      <c r="T80" s="8">
        <v>795</v>
      </c>
      <c r="U80" s="3"/>
      <c r="V80" s="7">
        <f t="shared" si="17"/>
        <v>8.9623917748917747E-5</v>
      </c>
      <c r="W80" s="3"/>
      <c r="X80" s="8">
        <f t="shared" si="18"/>
        <v>-795</v>
      </c>
      <c r="Y80" s="3"/>
      <c r="Z80" s="7">
        <f t="shared" si="19"/>
        <v>-1</v>
      </c>
    </row>
    <row r="81" spans="1:26" s="69" customFormat="1" ht="15" customHeight="1" outlineLevel="1" collapsed="1" x14ac:dyDescent="0.25">
      <c r="A81" s="26"/>
      <c r="B81" s="14" t="str">
        <f>CONCATENATE("     ","Supplies                                          ")</f>
        <v xml:space="preserve">     Supplies                                          </v>
      </c>
      <c r="C81" s="14"/>
      <c r="D81" s="2">
        <f>SUM(OSRRefD22_15x_0)</f>
        <v>15924.51</v>
      </c>
      <c r="E81" s="2"/>
      <c r="F81" s="6">
        <f t="shared" si="12"/>
        <v>2.3095890124865227E-2</v>
      </c>
      <c r="G81" s="2"/>
      <c r="H81" s="2">
        <f>SUM(OSRRefH22_15x_0)</f>
        <v>29250</v>
      </c>
      <c r="I81" s="2"/>
      <c r="J81" s="6">
        <f t="shared" si="13"/>
        <v>4.836309523809524E-2</v>
      </c>
      <c r="K81" s="2"/>
      <c r="L81" s="2">
        <f t="shared" si="14"/>
        <v>-13325.49</v>
      </c>
      <c r="M81" s="2"/>
      <c r="N81" s="6">
        <f t="shared" si="15"/>
        <v>-0.45557230769230767</v>
      </c>
      <c r="O81" s="14"/>
      <c r="P81" s="2">
        <f>SUM(OSRRefP22_15x_0)</f>
        <v>325100.21000000002</v>
      </c>
      <c r="Q81" s="2"/>
      <c r="R81" s="6">
        <f t="shared" si="16"/>
        <v>2.7988378640385191E-2</v>
      </c>
      <c r="S81" s="2"/>
      <c r="T81" s="2">
        <f>SUM(OSRRefT22_15x_0)</f>
        <v>331850</v>
      </c>
      <c r="U81" s="2"/>
      <c r="V81" s="6">
        <f t="shared" si="17"/>
        <v>3.7410939754689752E-2</v>
      </c>
      <c r="W81" s="2"/>
      <c r="X81" s="2">
        <f t="shared" si="18"/>
        <v>-6749.789999999979</v>
      </c>
      <c r="Y81" s="2"/>
      <c r="Z81" s="6">
        <f t="shared" si="19"/>
        <v>-2.0339882477022689E-2</v>
      </c>
    </row>
    <row r="82" spans="1:26" s="70" customFormat="1" ht="15" hidden="1" customHeight="1" outlineLevel="2" x14ac:dyDescent="0.25">
      <c r="A82" s="25"/>
      <c r="B82" s="12" t="str">
        <f>CONCATENATE("          ","6234"," - ","EXPENDABLE SUPPLIES &amp; EQUIPMEN")</f>
        <v xml:space="preserve">          6234 - EXPENDABLE SUPPLIES &amp; EQUIPMEN</v>
      </c>
      <c r="C82" s="12"/>
      <c r="D82" s="8"/>
      <c r="E82" s="3"/>
      <c r="F82" s="7">
        <f t="shared" si="12"/>
        <v>0</v>
      </c>
      <c r="G82" s="3"/>
      <c r="H82" s="8">
        <v>342</v>
      </c>
      <c r="I82" s="3"/>
      <c r="J82" s="7">
        <f t="shared" si="13"/>
        <v>5.6547619047619046E-4</v>
      </c>
      <c r="K82" s="3"/>
      <c r="L82" s="8">
        <f t="shared" si="14"/>
        <v>-342</v>
      </c>
      <c r="M82" s="3"/>
      <c r="N82" s="7">
        <f t="shared" si="15"/>
        <v>-1</v>
      </c>
      <c r="O82" s="12"/>
      <c r="P82" s="8">
        <v>336.98</v>
      </c>
      <c r="Q82" s="3"/>
      <c r="R82" s="7">
        <f t="shared" si="16"/>
        <v>2.9011128089511237E-5</v>
      </c>
      <c r="S82" s="3"/>
      <c r="T82" s="8">
        <v>3762</v>
      </c>
      <c r="U82" s="3"/>
      <c r="V82" s="7">
        <f t="shared" si="17"/>
        <v>4.2410714285714285E-4</v>
      </c>
      <c r="W82" s="3"/>
      <c r="X82" s="8">
        <f t="shared" si="18"/>
        <v>-3425.02</v>
      </c>
      <c r="Y82" s="3"/>
      <c r="Z82" s="7">
        <f t="shared" si="19"/>
        <v>-0.91042530568846358</v>
      </c>
    </row>
    <row r="83" spans="1:26" s="70" customFormat="1" ht="15" hidden="1" customHeight="1" outlineLevel="2" x14ac:dyDescent="0.25">
      <c r="A83" s="25"/>
      <c r="B83" s="12" t="str">
        <f>CONCATENATE("          ","6235"," - ","COVID-19 EXPENSES")</f>
        <v xml:space="preserve">          6235 - COVID-19 EXPENSES</v>
      </c>
      <c r="C83" s="12"/>
      <c r="D83" s="8"/>
      <c r="E83" s="3"/>
      <c r="F83" s="7">
        <f t="shared" si="12"/>
        <v>0</v>
      </c>
      <c r="G83" s="3"/>
      <c r="H83" s="8"/>
      <c r="I83" s="3"/>
      <c r="J83" s="7">
        <f t="shared" si="13"/>
        <v>0</v>
      </c>
      <c r="K83" s="3"/>
      <c r="L83" s="8">
        <f t="shared" si="14"/>
        <v>0</v>
      </c>
      <c r="M83" s="3"/>
      <c r="N83" s="7">
        <f t="shared" si="15"/>
        <v>0</v>
      </c>
      <c r="O83" s="12"/>
      <c r="P83" s="8">
        <v>158.76</v>
      </c>
      <c r="Q83" s="3"/>
      <c r="R83" s="7">
        <f t="shared" si="16"/>
        <v>1.3667893333404959E-5</v>
      </c>
      <c r="S83" s="3"/>
      <c r="T83" s="8"/>
      <c r="U83" s="3"/>
      <c r="V83" s="7">
        <f t="shared" si="17"/>
        <v>0</v>
      </c>
      <c r="W83" s="3"/>
      <c r="X83" s="8">
        <f t="shared" si="18"/>
        <v>158.76</v>
      </c>
      <c r="Y83" s="3"/>
      <c r="Z83" s="7">
        <f t="shared" si="19"/>
        <v>0</v>
      </c>
    </row>
    <row r="84" spans="1:26" s="70" customFormat="1" ht="15" hidden="1" customHeight="1" outlineLevel="2" x14ac:dyDescent="0.25">
      <c r="A84" s="25"/>
      <c r="B84" s="12" t="str">
        <f>CONCATENATE("          ","6237"," - ","JANITORIAL SUPPLIES")</f>
        <v xml:space="preserve">          6237 - JANITORIAL SUPPLIES</v>
      </c>
      <c r="C84" s="12"/>
      <c r="D84" s="8">
        <v>7985.39</v>
      </c>
      <c r="E84" s="3"/>
      <c r="F84" s="7">
        <f t="shared" si="12"/>
        <v>1.1581498585777367E-2</v>
      </c>
      <c r="G84" s="3"/>
      <c r="H84" s="8">
        <v>9750</v>
      </c>
      <c r="I84" s="3"/>
      <c r="J84" s="7">
        <f t="shared" si="13"/>
        <v>1.6121031746031748E-2</v>
      </c>
      <c r="K84" s="3"/>
      <c r="L84" s="8">
        <f t="shared" si="14"/>
        <v>-1764.6099999999997</v>
      </c>
      <c r="M84" s="3"/>
      <c r="N84" s="7">
        <f t="shared" si="15"/>
        <v>-0.18098564102564099</v>
      </c>
      <c r="O84" s="12"/>
      <c r="P84" s="8">
        <v>79885.710000000006</v>
      </c>
      <c r="Q84" s="3"/>
      <c r="R84" s="7">
        <f t="shared" si="16"/>
        <v>6.8774840208070172E-3</v>
      </c>
      <c r="S84" s="3"/>
      <c r="T84" s="8">
        <v>110250</v>
      </c>
      <c r="U84" s="3"/>
      <c r="V84" s="7">
        <f t="shared" si="17"/>
        <v>1.2428977272727272E-2</v>
      </c>
      <c r="W84" s="3"/>
      <c r="X84" s="8">
        <f t="shared" si="18"/>
        <v>-30364.289999999994</v>
      </c>
      <c r="Y84" s="3"/>
      <c r="Z84" s="7">
        <f t="shared" si="19"/>
        <v>-0.27541306122448972</v>
      </c>
    </row>
    <row r="85" spans="1:26" s="70" customFormat="1" ht="15" hidden="1" customHeight="1" outlineLevel="2" x14ac:dyDescent="0.25">
      <c r="A85" s="25"/>
      <c r="B85" s="12" t="str">
        <f>CONCATENATE("          ","6239"," - ","KITCHEN SUPPLIES")</f>
        <v xml:space="preserve">          6239 - KITCHEN SUPPLIES</v>
      </c>
      <c r="C85" s="12"/>
      <c r="D85" s="8">
        <v>702.31</v>
      </c>
      <c r="E85" s="3"/>
      <c r="F85" s="7">
        <f t="shared" si="12"/>
        <v>1.0185854756971546E-3</v>
      </c>
      <c r="G85" s="3"/>
      <c r="H85" s="8">
        <v>3300</v>
      </c>
      <c r="I85" s="3"/>
      <c r="J85" s="7">
        <f t="shared" si="13"/>
        <v>5.456349206349206E-3</v>
      </c>
      <c r="K85" s="3"/>
      <c r="L85" s="8">
        <f t="shared" si="14"/>
        <v>-2597.69</v>
      </c>
      <c r="M85" s="3"/>
      <c r="N85" s="7">
        <f t="shared" si="15"/>
        <v>-0.78717878787878792</v>
      </c>
      <c r="O85" s="12"/>
      <c r="P85" s="8">
        <v>36400.160000000003</v>
      </c>
      <c r="Q85" s="3"/>
      <c r="R85" s="7">
        <f t="shared" si="16"/>
        <v>3.1337459322176488E-3</v>
      </c>
      <c r="S85" s="3"/>
      <c r="T85" s="8">
        <v>45400</v>
      </c>
      <c r="U85" s="3"/>
      <c r="V85" s="7">
        <f t="shared" si="17"/>
        <v>5.118145743145743E-3</v>
      </c>
      <c r="W85" s="3"/>
      <c r="X85" s="8">
        <f t="shared" si="18"/>
        <v>-8999.8399999999965</v>
      </c>
      <c r="Y85" s="3"/>
      <c r="Z85" s="7">
        <f t="shared" si="19"/>
        <v>-0.19823436123348009</v>
      </c>
    </row>
    <row r="86" spans="1:26" s="70" customFormat="1" ht="15" hidden="1" customHeight="1" outlineLevel="2" x14ac:dyDescent="0.25">
      <c r="A86" s="25"/>
      <c r="B86" s="12" t="str">
        <f>CONCATENATE("          ","6241"," - ","OFFICE EXPENSE")</f>
        <v xml:space="preserve">          6241 - OFFICE EXPENSE</v>
      </c>
      <c r="C86" s="12"/>
      <c r="D86" s="8">
        <v>2066.2199999999998</v>
      </c>
      <c r="E86" s="3"/>
      <c r="F86" s="7">
        <f t="shared" si="12"/>
        <v>2.9967132485582931E-3</v>
      </c>
      <c r="G86" s="3"/>
      <c r="H86" s="8">
        <v>1445</v>
      </c>
      <c r="I86" s="3"/>
      <c r="J86" s="7">
        <f t="shared" si="13"/>
        <v>2.3892195767195768E-3</v>
      </c>
      <c r="K86" s="3"/>
      <c r="L86" s="8">
        <f t="shared" si="14"/>
        <v>621.2199999999998</v>
      </c>
      <c r="M86" s="3"/>
      <c r="N86" s="7">
        <f t="shared" si="15"/>
        <v>0.429910034602076</v>
      </c>
      <c r="O86" s="12"/>
      <c r="P86" s="8">
        <v>19027.560000000001</v>
      </c>
      <c r="Q86" s="3"/>
      <c r="R86" s="7">
        <f t="shared" si="16"/>
        <v>1.6381119959370301E-3</v>
      </c>
      <c r="S86" s="3"/>
      <c r="T86" s="8">
        <v>15895</v>
      </c>
      <c r="U86" s="3"/>
      <c r="V86" s="7">
        <f t="shared" si="17"/>
        <v>1.7919146825396825E-3</v>
      </c>
      <c r="W86" s="3"/>
      <c r="X86" s="8">
        <f t="shared" si="18"/>
        <v>3132.5600000000013</v>
      </c>
      <c r="Y86" s="3"/>
      <c r="Z86" s="7">
        <f t="shared" si="19"/>
        <v>0.19707832651777296</v>
      </c>
    </row>
    <row r="87" spans="1:26" s="70" customFormat="1" ht="15" hidden="1" customHeight="1" outlineLevel="2" x14ac:dyDescent="0.25">
      <c r="A87" s="25"/>
      <c r="B87" s="12" t="str">
        <f>CONCATENATE("          ","6243"," - ","PAPER SUPPLIES")</f>
        <v xml:space="preserve">          6243 - PAPER SUPPLIES</v>
      </c>
      <c r="C87" s="12"/>
      <c r="D87" s="8">
        <v>5170.59</v>
      </c>
      <c r="E87" s="3"/>
      <c r="F87" s="7">
        <f t="shared" si="12"/>
        <v>7.4990928148324122E-3</v>
      </c>
      <c r="G87" s="3"/>
      <c r="H87" s="8">
        <v>13300</v>
      </c>
      <c r="I87" s="3"/>
      <c r="J87" s="7">
        <f t="shared" si="13"/>
        <v>2.1990740740740741E-2</v>
      </c>
      <c r="K87" s="3"/>
      <c r="L87" s="8">
        <f t="shared" si="14"/>
        <v>-8129.41</v>
      </c>
      <c r="M87" s="3"/>
      <c r="N87" s="7">
        <f t="shared" si="15"/>
        <v>-0.61123383458646618</v>
      </c>
      <c r="O87" s="12"/>
      <c r="P87" s="8">
        <v>181054.1</v>
      </c>
      <c r="Q87" s="3"/>
      <c r="R87" s="7">
        <f t="shared" si="16"/>
        <v>1.5587226797528567E-2</v>
      </c>
      <c r="S87" s="3"/>
      <c r="T87" s="8">
        <v>144300</v>
      </c>
      <c r="U87" s="3"/>
      <c r="V87" s="7">
        <f t="shared" si="17"/>
        <v>1.626758658008658E-2</v>
      </c>
      <c r="W87" s="3"/>
      <c r="X87" s="8">
        <f t="shared" si="18"/>
        <v>36754.100000000006</v>
      </c>
      <c r="Y87" s="3"/>
      <c r="Z87" s="7">
        <f t="shared" si="19"/>
        <v>0.25470616770616777</v>
      </c>
    </row>
    <row r="88" spans="1:26" s="70" customFormat="1" ht="15" hidden="1" customHeight="1" outlineLevel="2" x14ac:dyDescent="0.25">
      <c r="A88" s="25"/>
      <c r="B88" s="12" t="str">
        <f>CONCATENATE("          ","6244"," - ","SAFETY SUPPLY EXPENSE")</f>
        <v xml:space="preserve">          6244 - SAFETY SUPPLY EXPENSE</v>
      </c>
      <c r="C88" s="12"/>
      <c r="D88" s="8"/>
      <c r="E88" s="3"/>
      <c r="F88" s="7">
        <f t="shared" si="12"/>
        <v>0</v>
      </c>
      <c r="G88" s="3"/>
      <c r="H88" s="8">
        <v>525</v>
      </c>
      <c r="I88" s="3"/>
      <c r="J88" s="7">
        <f t="shared" si="13"/>
        <v>8.6805555555555551E-4</v>
      </c>
      <c r="K88" s="3"/>
      <c r="L88" s="8">
        <f t="shared" si="14"/>
        <v>-525</v>
      </c>
      <c r="M88" s="3"/>
      <c r="N88" s="7">
        <f t="shared" si="15"/>
        <v>-1</v>
      </c>
      <c r="O88" s="12"/>
      <c r="P88" s="8"/>
      <c r="Q88" s="3"/>
      <c r="R88" s="7">
        <f t="shared" si="16"/>
        <v>0</v>
      </c>
      <c r="S88" s="3"/>
      <c r="T88" s="8">
        <v>5775</v>
      </c>
      <c r="U88" s="3"/>
      <c r="V88" s="7">
        <f t="shared" si="17"/>
        <v>6.5104166666666663E-4</v>
      </c>
      <c r="W88" s="3"/>
      <c r="X88" s="8">
        <f t="shared" si="18"/>
        <v>-5775</v>
      </c>
      <c r="Y88" s="3"/>
      <c r="Z88" s="7">
        <f t="shared" si="19"/>
        <v>-1</v>
      </c>
    </row>
    <row r="89" spans="1:26" s="70" customFormat="1" ht="15" hidden="1" customHeight="1" outlineLevel="2" x14ac:dyDescent="0.25">
      <c r="A89" s="25"/>
      <c r="B89" s="12" t="str">
        <f>CONCATENATE("          ","6247"," - ","STORE SUPPLIES")</f>
        <v xml:space="preserve">          6247 - STORE SUPPLIES</v>
      </c>
      <c r="C89" s="12"/>
      <c r="D89" s="8"/>
      <c r="E89" s="3"/>
      <c r="F89" s="7">
        <f t="shared" si="12"/>
        <v>0</v>
      </c>
      <c r="G89" s="3"/>
      <c r="H89" s="8"/>
      <c r="I89" s="3"/>
      <c r="J89" s="7">
        <f t="shared" si="13"/>
        <v>0</v>
      </c>
      <c r="K89" s="3"/>
      <c r="L89" s="8">
        <f t="shared" si="14"/>
        <v>0</v>
      </c>
      <c r="M89" s="3"/>
      <c r="N89" s="7">
        <f t="shared" si="15"/>
        <v>0</v>
      </c>
      <c r="O89" s="12"/>
      <c r="P89" s="8">
        <v>1693.55</v>
      </c>
      <c r="Q89" s="3"/>
      <c r="R89" s="7">
        <f t="shared" si="16"/>
        <v>1.4580033229269319E-4</v>
      </c>
      <c r="S89" s="3"/>
      <c r="T89" s="8"/>
      <c r="U89" s="3"/>
      <c r="V89" s="7">
        <f t="shared" si="17"/>
        <v>0</v>
      </c>
      <c r="W89" s="3"/>
      <c r="X89" s="8">
        <f t="shared" si="18"/>
        <v>1693.55</v>
      </c>
      <c r="Y89" s="3"/>
      <c r="Z89" s="7">
        <f t="shared" si="19"/>
        <v>0</v>
      </c>
    </row>
    <row r="90" spans="1:26" s="70" customFormat="1" ht="15" hidden="1" customHeight="1" outlineLevel="2" x14ac:dyDescent="0.25">
      <c r="A90" s="25"/>
      <c r="B90" s="12" t="str">
        <f>CONCATENATE("          ","6248"," - ","UNIFORMS")</f>
        <v xml:space="preserve">          6248 - UNIFORMS</v>
      </c>
      <c r="C90" s="12"/>
      <c r="D90" s="8"/>
      <c r="E90" s="3"/>
      <c r="F90" s="7">
        <f t="shared" si="12"/>
        <v>0</v>
      </c>
      <c r="G90" s="3"/>
      <c r="H90" s="8">
        <v>588</v>
      </c>
      <c r="I90" s="3"/>
      <c r="J90" s="7">
        <f t="shared" si="13"/>
        <v>9.7222222222222219E-4</v>
      </c>
      <c r="K90" s="3"/>
      <c r="L90" s="8">
        <f t="shared" si="14"/>
        <v>-588</v>
      </c>
      <c r="M90" s="3"/>
      <c r="N90" s="7">
        <f t="shared" si="15"/>
        <v>-1</v>
      </c>
      <c r="O90" s="12"/>
      <c r="P90" s="8">
        <v>6543.39</v>
      </c>
      <c r="Q90" s="3"/>
      <c r="R90" s="7">
        <f t="shared" si="16"/>
        <v>5.6333054017931904E-4</v>
      </c>
      <c r="S90" s="3"/>
      <c r="T90" s="8">
        <v>6468</v>
      </c>
      <c r="U90" s="3"/>
      <c r="V90" s="7">
        <f t="shared" si="17"/>
        <v>7.291666666666667E-4</v>
      </c>
      <c r="W90" s="3"/>
      <c r="X90" s="8">
        <f t="shared" si="18"/>
        <v>75.390000000000327</v>
      </c>
      <c r="Y90" s="3"/>
      <c r="Z90" s="7">
        <f t="shared" si="19"/>
        <v>1.1655844155844206E-2</v>
      </c>
    </row>
    <row r="91" spans="1:26" s="69" customFormat="1" ht="15" customHeight="1" outlineLevel="1" collapsed="1" x14ac:dyDescent="0.25">
      <c r="A91" s="26"/>
      <c r="B91" s="14" t="str">
        <f>CONCATENATE("     ","Telephone/Data Lines                              ")</f>
        <v xml:space="preserve">     Telephone/Data Lines                              </v>
      </c>
      <c r="C91" s="14"/>
      <c r="D91" s="2">
        <f>SUM(OSRRefD22_16x_0)</f>
        <v>734</v>
      </c>
      <c r="E91" s="2"/>
      <c r="F91" s="6">
        <f t="shared" ref="F91:F98" si="20">IF(D$12=0,0,D91/D$12)</f>
        <v>1.0645466235162701E-3</v>
      </c>
      <c r="G91" s="2"/>
      <c r="H91" s="2">
        <f>SUM(OSRRefH22_16x_0)</f>
        <v>601</v>
      </c>
      <c r="I91" s="2"/>
      <c r="J91" s="6">
        <f t="shared" ref="J91:J98" si="21">IF(H$12=0,0,H91/H$12)</f>
        <v>9.9371693121693121E-4</v>
      </c>
      <c r="K91" s="2"/>
      <c r="L91" s="2">
        <f t="shared" ref="L91:L98" si="22">+D91-H91</f>
        <v>133</v>
      </c>
      <c r="M91" s="2"/>
      <c r="N91" s="6">
        <f t="shared" ref="N91:N98" si="23">IF(H91=0,0,L91/H91)</f>
        <v>0.22129783693843594</v>
      </c>
      <c r="O91" s="14"/>
      <c r="P91" s="2">
        <f>SUM(OSRRefP22_16x_0)</f>
        <v>8405.85</v>
      </c>
      <c r="Q91" s="2"/>
      <c r="R91" s="6">
        <f t="shared" ref="R91:R98" si="24">IF(P$12=0,0,P91/P$12)</f>
        <v>7.2367259496473977E-4</v>
      </c>
      <c r="S91" s="2"/>
      <c r="T91" s="2">
        <f>SUM(OSRRefT22_16x_0)</f>
        <v>6611</v>
      </c>
      <c r="U91" s="2"/>
      <c r="V91" s="6">
        <f t="shared" ref="V91:V98" si="25">IF(T$12=0,0,T91/T$12)</f>
        <v>7.4528769841269841E-4</v>
      </c>
      <c r="W91" s="2"/>
      <c r="X91" s="2">
        <f t="shared" ref="X91:X98" si="26">+P91-T91</f>
        <v>1794.8500000000004</v>
      </c>
      <c r="Y91" s="2"/>
      <c r="Z91" s="6">
        <f t="shared" ref="Z91:Z98" si="27">IF(T91=0,0,X91/T91)</f>
        <v>0.27149447889880507</v>
      </c>
    </row>
    <row r="92" spans="1:26" s="70" customFormat="1" ht="15" hidden="1" customHeight="1" outlineLevel="2" x14ac:dyDescent="0.25">
      <c r="A92" s="25"/>
      <c r="B92" s="12" t="str">
        <f>CONCATENATE("          ","6303"," - ","DATA PHONE LINES")</f>
        <v xml:space="preserve">          6303 - DATA PHONE LINES</v>
      </c>
      <c r="C92" s="12"/>
      <c r="D92" s="8"/>
      <c r="E92" s="3"/>
      <c r="F92" s="7">
        <f t="shared" si="20"/>
        <v>0</v>
      </c>
      <c r="G92" s="3"/>
      <c r="H92" s="8">
        <v>58</v>
      </c>
      <c r="I92" s="3"/>
      <c r="J92" s="7">
        <f t="shared" si="21"/>
        <v>9.5899470899470904E-5</v>
      </c>
      <c r="K92" s="3"/>
      <c r="L92" s="8">
        <f t="shared" si="22"/>
        <v>-58</v>
      </c>
      <c r="M92" s="3"/>
      <c r="N92" s="7">
        <f t="shared" si="23"/>
        <v>-1</v>
      </c>
      <c r="O92" s="12"/>
      <c r="P92" s="8"/>
      <c r="Q92" s="3"/>
      <c r="R92" s="7">
        <f t="shared" si="24"/>
        <v>0</v>
      </c>
      <c r="S92" s="3"/>
      <c r="T92" s="8">
        <v>638</v>
      </c>
      <c r="U92" s="3"/>
      <c r="V92" s="7">
        <f t="shared" si="25"/>
        <v>7.1924603174603171E-5</v>
      </c>
      <c r="W92" s="3"/>
      <c r="X92" s="8">
        <f t="shared" si="26"/>
        <v>-638</v>
      </c>
      <c r="Y92" s="3"/>
      <c r="Z92" s="7">
        <f t="shared" si="27"/>
        <v>-1</v>
      </c>
    </row>
    <row r="93" spans="1:26" s="70" customFormat="1" ht="15" hidden="1" customHeight="1" outlineLevel="2" x14ac:dyDescent="0.25">
      <c r="A93" s="25"/>
      <c r="B93" s="12" t="str">
        <f>CONCATENATE("          ","6309"," - ","TELEPHONE")</f>
        <v xml:space="preserve">          6309 - TELEPHONE</v>
      </c>
      <c r="C93" s="12"/>
      <c r="D93" s="8">
        <v>734</v>
      </c>
      <c r="E93" s="3"/>
      <c r="F93" s="7">
        <f t="shared" si="20"/>
        <v>1.0645466235162701E-3</v>
      </c>
      <c r="G93" s="3"/>
      <c r="H93" s="8">
        <v>543</v>
      </c>
      <c r="I93" s="3"/>
      <c r="J93" s="7">
        <f t="shared" si="21"/>
        <v>8.9781746031746034E-4</v>
      </c>
      <c r="K93" s="3"/>
      <c r="L93" s="8">
        <f t="shared" si="22"/>
        <v>191</v>
      </c>
      <c r="M93" s="3"/>
      <c r="N93" s="7">
        <f t="shared" si="23"/>
        <v>0.35174953959484345</v>
      </c>
      <c r="O93" s="12"/>
      <c r="P93" s="8">
        <v>8405.85</v>
      </c>
      <c r="Q93" s="3"/>
      <c r="R93" s="7">
        <f t="shared" si="24"/>
        <v>7.2367259496473977E-4</v>
      </c>
      <c r="S93" s="3"/>
      <c r="T93" s="8">
        <v>5973</v>
      </c>
      <c r="U93" s="3"/>
      <c r="V93" s="7">
        <f t="shared" si="25"/>
        <v>6.7336309523809525E-4</v>
      </c>
      <c r="W93" s="3"/>
      <c r="X93" s="8">
        <f t="shared" si="26"/>
        <v>2432.8500000000004</v>
      </c>
      <c r="Y93" s="3"/>
      <c r="Z93" s="7">
        <f t="shared" si="27"/>
        <v>0.40730788548468111</v>
      </c>
    </row>
    <row r="94" spans="1:26" s="69" customFormat="1" ht="15" customHeight="1" outlineLevel="1" collapsed="1" x14ac:dyDescent="0.25">
      <c r="A94" s="26"/>
      <c r="B94" s="14" t="str">
        <f>CONCATENATE("     ","Training                                          ")</f>
        <v xml:space="preserve">     Training                                          </v>
      </c>
      <c r="C94" s="14"/>
      <c r="D94" s="2">
        <f>SUM(OSRRefD22_17x_0)</f>
        <v>8040.38</v>
      </c>
      <c r="E94" s="2"/>
      <c r="F94" s="6">
        <f t="shared" si="20"/>
        <v>1.1661252562381126E-2</v>
      </c>
      <c r="G94" s="2"/>
      <c r="H94" s="2">
        <f>SUM(OSRRefH22_17x_0)</f>
        <v>615</v>
      </c>
      <c r="I94" s="2"/>
      <c r="J94" s="6">
        <f t="shared" si="21"/>
        <v>1.0168650793650794E-3</v>
      </c>
      <c r="K94" s="2"/>
      <c r="L94" s="2">
        <f t="shared" si="22"/>
        <v>7425.38</v>
      </c>
      <c r="M94" s="2"/>
      <c r="N94" s="6">
        <f t="shared" si="23"/>
        <v>12.073788617886178</v>
      </c>
      <c r="O94" s="14"/>
      <c r="P94" s="2">
        <f>SUM(OSRRefP22_17x_0)</f>
        <v>16835.349999999999</v>
      </c>
      <c r="Q94" s="2"/>
      <c r="R94" s="6">
        <f t="shared" si="24"/>
        <v>1.4493812549164725E-3</v>
      </c>
      <c r="S94" s="2"/>
      <c r="T94" s="2">
        <f>SUM(OSRRefT22_17x_0)</f>
        <v>7985</v>
      </c>
      <c r="U94" s="2"/>
      <c r="V94" s="6">
        <f t="shared" si="25"/>
        <v>9.0018488455988459E-4</v>
      </c>
      <c r="W94" s="2"/>
      <c r="X94" s="2">
        <f t="shared" si="26"/>
        <v>8850.3499999999985</v>
      </c>
      <c r="Y94" s="2"/>
      <c r="Z94" s="6">
        <f t="shared" si="27"/>
        <v>1.1083719474013773</v>
      </c>
    </row>
    <row r="95" spans="1:26" s="70" customFormat="1" ht="15" hidden="1" customHeight="1" outlineLevel="2" x14ac:dyDescent="0.25">
      <c r="A95" s="25"/>
      <c r="B95" s="12" t="str">
        <f>CONCATENATE("          ","6376"," - ","TRAINING")</f>
        <v xml:space="preserve">          6376 - TRAINING</v>
      </c>
      <c r="C95" s="12"/>
      <c r="D95" s="8">
        <v>8040.38</v>
      </c>
      <c r="E95" s="3"/>
      <c r="F95" s="7">
        <f t="shared" si="20"/>
        <v>1.1661252562381126E-2</v>
      </c>
      <c r="G95" s="3"/>
      <c r="H95" s="8">
        <v>615</v>
      </c>
      <c r="I95" s="3"/>
      <c r="J95" s="7">
        <f t="shared" si="21"/>
        <v>1.0168650793650794E-3</v>
      </c>
      <c r="K95" s="3"/>
      <c r="L95" s="8">
        <f t="shared" si="22"/>
        <v>7425.38</v>
      </c>
      <c r="M95" s="3"/>
      <c r="N95" s="7">
        <f t="shared" si="23"/>
        <v>12.073788617886178</v>
      </c>
      <c r="O95" s="12"/>
      <c r="P95" s="8">
        <v>16835.349999999999</v>
      </c>
      <c r="Q95" s="3"/>
      <c r="R95" s="7">
        <f t="shared" si="24"/>
        <v>1.4493812549164725E-3</v>
      </c>
      <c r="S95" s="3"/>
      <c r="T95" s="8">
        <v>7985</v>
      </c>
      <c r="U95" s="3"/>
      <c r="V95" s="7">
        <f t="shared" si="25"/>
        <v>9.0018488455988459E-4</v>
      </c>
      <c r="W95" s="3"/>
      <c r="X95" s="8">
        <f t="shared" si="26"/>
        <v>8850.3499999999985</v>
      </c>
      <c r="Y95" s="3"/>
      <c r="Z95" s="7">
        <f t="shared" si="27"/>
        <v>1.1083719474013773</v>
      </c>
    </row>
    <row r="96" spans="1:26" s="69" customFormat="1" ht="15" customHeight="1" outlineLevel="1" collapsed="1" x14ac:dyDescent="0.25">
      <c r="A96" s="26"/>
      <c r="B96" s="14" t="str">
        <f>CONCATENATE("     ","Travel                                            ")</f>
        <v xml:space="preserve">     Travel                                            </v>
      </c>
      <c r="C96" s="14"/>
      <c r="D96" s="2">
        <f>SUM(OSRRefD22_18x_0)</f>
        <v>136.37</v>
      </c>
      <c r="E96" s="2"/>
      <c r="F96" s="6">
        <f t="shared" si="20"/>
        <v>1.977823202301277E-4</v>
      </c>
      <c r="G96" s="2"/>
      <c r="H96" s="2">
        <f>SUM(OSRRefH22_18x_0)</f>
        <v>0</v>
      </c>
      <c r="I96" s="2"/>
      <c r="J96" s="6">
        <f t="shared" si="21"/>
        <v>0</v>
      </c>
      <c r="K96" s="2"/>
      <c r="L96" s="2">
        <f t="shared" si="22"/>
        <v>136.37</v>
      </c>
      <c r="M96" s="2"/>
      <c r="N96" s="6">
        <f t="shared" si="23"/>
        <v>0</v>
      </c>
      <c r="O96" s="14"/>
      <c r="P96" s="2">
        <f>SUM(OSRRefP22_18x_0)</f>
        <v>970.41000000000008</v>
      </c>
      <c r="Q96" s="2"/>
      <c r="R96" s="6">
        <f t="shared" si="24"/>
        <v>8.3544094039238526E-5</v>
      </c>
      <c r="S96" s="2"/>
      <c r="T96" s="2">
        <f>SUM(OSRRefT22_18x_0)</f>
        <v>0</v>
      </c>
      <c r="U96" s="2"/>
      <c r="V96" s="6">
        <f t="shared" si="25"/>
        <v>0</v>
      </c>
      <c r="W96" s="2"/>
      <c r="X96" s="2">
        <f t="shared" si="26"/>
        <v>970.41000000000008</v>
      </c>
      <c r="Y96" s="2"/>
      <c r="Z96" s="6">
        <f t="shared" si="27"/>
        <v>0</v>
      </c>
    </row>
    <row r="97" spans="1:26" s="70" customFormat="1" ht="15" hidden="1" customHeight="1" outlineLevel="2" x14ac:dyDescent="0.25">
      <c r="A97" s="25"/>
      <c r="B97" s="12" t="str">
        <f>CONCATENATE("          ","6292"," - ","TRAVEL/CONFERENCE")</f>
        <v xml:space="preserve">          6292 - TRAVEL/CONFERENCE</v>
      </c>
      <c r="C97" s="12"/>
      <c r="D97" s="8">
        <v>15</v>
      </c>
      <c r="E97" s="3"/>
      <c r="F97" s="7">
        <f t="shared" si="20"/>
        <v>2.1755039990114509E-5</v>
      </c>
      <c r="G97" s="3"/>
      <c r="H97" s="8"/>
      <c r="I97" s="3"/>
      <c r="J97" s="7">
        <f t="shared" si="21"/>
        <v>0</v>
      </c>
      <c r="K97" s="3"/>
      <c r="L97" s="8">
        <f t="shared" si="22"/>
        <v>15</v>
      </c>
      <c r="M97" s="3"/>
      <c r="N97" s="7">
        <f t="shared" si="23"/>
        <v>0</v>
      </c>
      <c r="O97" s="12"/>
      <c r="P97" s="8">
        <v>610</v>
      </c>
      <c r="Q97" s="3"/>
      <c r="R97" s="7">
        <f t="shared" si="24"/>
        <v>5.2515841102148062E-5</v>
      </c>
      <c r="S97" s="3"/>
      <c r="T97" s="8"/>
      <c r="U97" s="3"/>
      <c r="V97" s="7">
        <f t="shared" si="25"/>
        <v>0</v>
      </c>
      <c r="W97" s="3"/>
      <c r="X97" s="8">
        <f t="shared" si="26"/>
        <v>610</v>
      </c>
      <c r="Y97" s="3"/>
      <c r="Z97" s="7">
        <f t="shared" si="27"/>
        <v>0</v>
      </c>
    </row>
    <row r="98" spans="1:26" s="70" customFormat="1" ht="15" hidden="1" customHeight="1" outlineLevel="2" x14ac:dyDescent="0.25">
      <c r="A98" s="25"/>
      <c r="B98" s="12" t="str">
        <f>CONCATENATE("          ","6298"," - ","VEHICLE MILEAGE")</f>
        <v xml:space="preserve">          6298 - VEHICLE MILEAGE</v>
      </c>
      <c r="C98" s="12"/>
      <c r="D98" s="8">
        <v>121.37</v>
      </c>
      <c r="E98" s="3"/>
      <c r="F98" s="7">
        <f t="shared" si="20"/>
        <v>1.760272802400132E-4</v>
      </c>
      <c r="G98" s="3"/>
      <c r="H98" s="8"/>
      <c r="I98" s="3"/>
      <c r="J98" s="7">
        <f t="shared" si="21"/>
        <v>0</v>
      </c>
      <c r="K98" s="3"/>
      <c r="L98" s="8">
        <f t="shared" si="22"/>
        <v>121.37</v>
      </c>
      <c r="M98" s="3"/>
      <c r="N98" s="7">
        <f t="shared" si="23"/>
        <v>0</v>
      </c>
      <c r="O98" s="12"/>
      <c r="P98" s="8">
        <v>360.41</v>
      </c>
      <c r="Q98" s="3"/>
      <c r="R98" s="7">
        <f t="shared" si="24"/>
        <v>3.1028252937090464E-5</v>
      </c>
      <c r="S98" s="3"/>
      <c r="T98" s="8"/>
      <c r="U98" s="3"/>
      <c r="V98" s="7">
        <f t="shared" si="25"/>
        <v>0</v>
      </c>
      <c r="W98" s="3"/>
      <c r="X98" s="8">
        <f t="shared" si="26"/>
        <v>360.41</v>
      </c>
      <c r="Y98" s="3"/>
      <c r="Z98" s="7">
        <f t="shared" si="27"/>
        <v>0</v>
      </c>
    </row>
    <row r="99" spans="1:26" s="65" customFormat="1" ht="15" customHeight="1" x14ac:dyDescent="0.25">
      <c r="A99" s="35"/>
      <c r="B99" s="35"/>
      <c r="C99" s="35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O99" s="35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63" customFormat="1" ht="15" customHeight="1" x14ac:dyDescent="0.25">
      <c r="A100" s="11"/>
      <c r="B100" s="27" t="s">
        <v>291</v>
      </c>
      <c r="C100" s="11"/>
      <c r="D100" s="5">
        <f>SUM(0)</f>
        <v>0</v>
      </c>
      <c r="E100" s="5"/>
      <c r="F100" s="13">
        <f>IF(D$12=0,0,D100/D$12)</f>
        <v>0</v>
      </c>
      <c r="G100" s="5"/>
      <c r="H100" s="5">
        <f>SUM(0)</f>
        <v>0</v>
      </c>
      <c r="I100" s="5"/>
      <c r="J100" s="13">
        <f>IF(H$12=0,0,H100/H$12)</f>
        <v>0</v>
      </c>
      <c r="K100" s="5"/>
      <c r="L100" s="5">
        <f>+D100-H100</f>
        <v>0</v>
      </c>
      <c r="M100" s="5"/>
      <c r="N100" s="13">
        <f>IF(H100=0,0,L100/H100)</f>
        <v>0</v>
      </c>
      <c r="O100" s="11"/>
      <c r="P100" s="5">
        <f>SUM(0)</f>
        <v>0</v>
      </c>
      <c r="Q100" s="5"/>
      <c r="R100" s="13">
        <f>IF(P$12=0,0,P100/P$12)</f>
        <v>0</v>
      </c>
      <c r="S100" s="5"/>
      <c r="T100" s="5">
        <f>SUM(0)</f>
        <v>0</v>
      </c>
      <c r="U100" s="5"/>
      <c r="V100" s="13">
        <f>IF(T$12=0,0,T100/T$12)</f>
        <v>0</v>
      </c>
      <c r="W100" s="5"/>
      <c r="X100" s="5">
        <f>+P100-T100</f>
        <v>0</v>
      </c>
      <c r="Y100" s="5"/>
      <c r="Z100" s="13">
        <f>IF(T100=0,0,X100/T100)</f>
        <v>0</v>
      </c>
    </row>
    <row r="101" spans="1:26" ht="15" customHeight="1" x14ac:dyDescent="0.25">
      <c r="A101" s="10"/>
      <c r="B101" s="11"/>
      <c r="C101" s="11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O101" s="11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25">
      <c r="A102" s="11"/>
      <c r="B102" s="28" t="s">
        <v>292</v>
      </c>
      <c r="C102" s="28"/>
      <c r="D102" s="22">
        <f>+D25-D27+D100</f>
        <v>137280.06999999989</v>
      </c>
      <c r="E102" s="15"/>
      <c r="F102" s="21">
        <f>IF(D$12=0,0,D102/D$12)</f>
        <v>0.19910222751304779</v>
      </c>
      <c r="G102" s="15"/>
      <c r="H102" s="22">
        <f>+H25-H27+H100</f>
        <v>-465.93823726603296</v>
      </c>
      <c r="I102" s="15"/>
      <c r="J102" s="21">
        <f>IF(H$12=0,0,H102/H$12)</f>
        <v>-7.7040052458008095E-4</v>
      </c>
      <c r="K102" s="16"/>
      <c r="L102" s="22">
        <f>+D102-H102</f>
        <v>137746.00823726592</v>
      </c>
      <c r="M102" s="16"/>
      <c r="N102" s="21">
        <f>IF(H102=0,0,L102/H102)</f>
        <v>-295.63147477552525</v>
      </c>
      <c r="O102" s="27"/>
      <c r="P102" s="22">
        <f>+P25-P27+P100</f>
        <v>3716274.7100000028</v>
      </c>
      <c r="Q102" s="15"/>
      <c r="R102" s="21">
        <f>IF(P$12=0,0,P102/P$12)</f>
        <v>0.31993982321687131</v>
      </c>
      <c r="S102" s="15"/>
      <c r="T102" s="22">
        <f>+T25-T27+T100</f>
        <v>740294.59808210656</v>
      </c>
      <c r="U102" s="15"/>
      <c r="V102" s="21">
        <f>IF(T$12=0,0,T102/T$12)</f>
        <v>8.3456732287394766E-2</v>
      </c>
      <c r="W102" s="16"/>
      <c r="X102" s="22">
        <f>+P102-T102</f>
        <v>2975980.1119178962</v>
      </c>
      <c r="Y102" s="16"/>
      <c r="Z102" s="21">
        <f>IF(T102=0,0,X102/T102)</f>
        <v>4.0199943639029883</v>
      </c>
    </row>
    <row r="103" spans="1:26" ht="15" customHeight="1" x14ac:dyDescent="0.25">
      <c r="A103" s="10"/>
      <c r="B103" s="11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25">
      <c r="A104" s="49"/>
      <c r="B104" s="11" t="s">
        <v>293</v>
      </c>
      <c r="C104" s="11"/>
      <c r="D104" s="5">
        <v>68136.479999999996</v>
      </c>
      <c r="E104" s="5"/>
      <c r="F104" s="13">
        <f>IF(D$12=0,0,D104/D$12)</f>
        <v>9.8820789812375825E-2</v>
      </c>
      <c r="G104" s="5"/>
      <c r="H104" s="5">
        <v>82806</v>
      </c>
      <c r="I104" s="5"/>
      <c r="J104" s="13">
        <f>IF(H$12=0,0,H104/H$12)</f>
        <v>0.13691468253968253</v>
      </c>
      <c r="K104" s="5"/>
      <c r="L104" s="5">
        <f>+D104-H104</f>
        <v>-14669.520000000004</v>
      </c>
      <c r="M104" s="5"/>
      <c r="N104" s="13">
        <f>IF(H104=0,0,L104/H104)</f>
        <v>-0.17715527860299984</v>
      </c>
      <c r="O104" s="11"/>
      <c r="P104" s="5">
        <v>1305881.52</v>
      </c>
      <c r="Q104" s="5"/>
      <c r="R104" s="13">
        <f>IF(P$12=0,0,P104/P$12)</f>
        <v>0.11242535475828129</v>
      </c>
      <c r="S104" s="5"/>
      <c r="T104" s="5">
        <v>1099594</v>
      </c>
      <c r="U104" s="5"/>
      <c r="V104" s="13">
        <f>IF(T$12=0,0,T104/T$12)</f>
        <v>0.1239621663059163</v>
      </c>
      <c r="W104" s="5"/>
      <c r="X104" s="5">
        <f>+P104-T104</f>
        <v>206287.52000000002</v>
      </c>
      <c r="Y104" s="5"/>
      <c r="Z104" s="13">
        <f>IF(T104=0,0,X104/T104)</f>
        <v>0.18760335178256704</v>
      </c>
    </row>
    <row r="105" spans="1:26" ht="15" customHeight="1" x14ac:dyDescent="0.25">
      <c r="A105" s="10"/>
      <c r="B105" s="11"/>
      <c r="C105" s="11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O105" s="11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3" customFormat="1" ht="15" customHeight="1" x14ac:dyDescent="0.25">
      <c r="A106" s="11"/>
      <c r="B106" s="28" t="s">
        <v>294</v>
      </c>
      <c r="C106" s="28"/>
      <c r="D106" s="34">
        <f>+D102-D104</f>
        <v>69143.589999999895</v>
      </c>
      <c r="E106" s="15"/>
      <c r="F106" s="32">
        <f>IF(D$12=0,0,D106/D$12)</f>
        <v>0.10028143770067195</v>
      </c>
      <c r="G106" s="15"/>
      <c r="H106" s="34">
        <f>+H102-H104</f>
        <v>-83271.938237266033</v>
      </c>
      <c r="I106" s="15"/>
      <c r="J106" s="32">
        <f>IF(H$12=0,0,H106/H$12)</f>
        <v>-0.13768508306426261</v>
      </c>
      <c r="K106" s="16"/>
      <c r="L106" s="34">
        <f>D106-H106</f>
        <v>152415.52823726594</v>
      </c>
      <c r="M106" s="16"/>
      <c r="N106" s="32">
        <f>IF(H106=0,0,L106/H106)</f>
        <v>-1.8303348218338531</v>
      </c>
      <c r="O106" s="27"/>
      <c r="P106" s="34">
        <f>+P102-P104</f>
        <v>2410393.1900000027</v>
      </c>
      <c r="Q106" s="15"/>
      <c r="R106" s="32">
        <f>IF(P$12=0,0,P106/P$12)</f>
        <v>0.20751446845859003</v>
      </c>
      <c r="S106" s="15"/>
      <c r="T106" s="34">
        <f>+T102-T104</f>
        <v>-359299.40191789344</v>
      </c>
      <c r="U106" s="15"/>
      <c r="V106" s="32">
        <f>IF(T$12=0,0,T106/T$12)</f>
        <v>-4.0505434018521538E-2</v>
      </c>
      <c r="W106" s="16"/>
      <c r="X106" s="34">
        <f>P106-T106</f>
        <v>2769692.5919178962</v>
      </c>
      <c r="Y106" s="16"/>
      <c r="Z106" s="32">
        <f>IF(T106=0,0,X106/T106)</f>
        <v>-7.7085922691038107</v>
      </c>
    </row>
    <row r="107" spans="1:26" ht="15" customHeight="1" x14ac:dyDescent="0.25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ht="15" customHeight="1" x14ac:dyDescent="0.25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s="63" customFormat="1" ht="15" customHeight="1" x14ac:dyDescent="0.25">
      <c r="A109" s="11"/>
      <c r="B109" s="28" t="s">
        <v>297</v>
      </c>
      <c r="C109" s="28"/>
      <c r="D109" s="30">
        <f>SUM(D106:D108)</f>
        <v>69143.589999999895</v>
      </c>
      <c r="E109" s="15"/>
      <c r="F109" s="33">
        <f>IF(D$12=0,0,D109/D$12)</f>
        <v>0.10028143770067195</v>
      </c>
      <c r="G109" s="15"/>
      <c r="H109" s="30">
        <f>SUM(H106:H108)</f>
        <v>-83271.938237266033</v>
      </c>
      <c r="I109" s="15"/>
      <c r="J109" s="33">
        <f>IF(H$12=0,0,H109/H$12)</f>
        <v>-0.13768508306426261</v>
      </c>
      <c r="K109" s="16"/>
      <c r="L109" s="30">
        <f>+D109-H109</f>
        <v>152415.52823726594</v>
      </c>
      <c r="M109" s="16"/>
      <c r="N109" s="33">
        <f>IF(H109=0,0,L109/H109)</f>
        <v>-1.8303348218338531</v>
      </c>
      <c r="O109" s="27"/>
      <c r="P109" s="30">
        <f>SUM(P106:P108)</f>
        <v>2410393.1900000027</v>
      </c>
      <c r="Q109" s="15"/>
      <c r="R109" s="33">
        <f>IF(P$12=0,0,P109/P$12)</f>
        <v>0.20751446845859003</v>
      </c>
      <c r="S109" s="15"/>
      <c r="T109" s="30">
        <f>SUM(T106:T108)</f>
        <v>-359299.40191789344</v>
      </c>
      <c r="U109" s="15"/>
      <c r="V109" s="33">
        <f>IF(T$12=0,0,T109/T$12)</f>
        <v>-4.0505434018521538E-2</v>
      </c>
      <c r="W109" s="16"/>
      <c r="X109" s="30">
        <f>+P109-T109</f>
        <v>2769692.5919178962</v>
      </c>
      <c r="Y109" s="16"/>
      <c r="Z109" s="33">
        <f>IF(T109=0,0,X109/T109)</f>
        <v>-7.7085922691038107</v>
      </c>
    </row>
    <row r="110" spans="1:26" ht="15" customHeight="1" x14ac:dyDescent="0.25">
      <c r="A110" s="10"/>
      <c r="C110" s="10"/>
      <c r="D110" s="18"/>
      <c r="E110" s="18"/>
      <c r="G110" s="18"/>
      <c r="H110" s="18"/>
      <c r="I110" s="18"/>
      <c r="J110" s="40"/>
      <c r="K110" s="18"/>
      <c r="L110" s="18"/>
      <c r="M110" s="18"/>
      <c r="P110" s="18"/>
      <c r="Q110" s="18"/>
      <c r="R110" s="40"/>
      <c r="S110" s="18"/>
      <c r="T110" s="18"/>
      <c r="U110" s="18"/>
      <c r="V110" s="40"/>
      <c r="W110" s="18"/>
      <c r="X110" s="18"/>
    </row>
    <row r="111" spans="1:26" ht="15" customHeight="1" x14ac:dyDescent="0.25">
      <c r="A111" s="10"/>
      <c r="B111" s="54">
        <v>44727.874480057872</v>
      </c>
      <c r="D111" s="18"/>
      <c r="E111" s="18"/>
      <c r="G111" s="18"/>
      <c r="H111" s="18"/>
      <c r="I111" s="18"/>
      <c r="J111" s="40"/>
      <c r="K111" s="18"/>
      <c r="L111" s="18"/>
      <c r="M111" s="18"/>
      <c r="P111" s="18"/>
      <c r="Q111" s="18"/>
      <c r="R111" s="40"/>
      <c r="S111" s="18"/>
      <c r="T111" s="18"/>
      <c r="U111" s="18"/>
      <c r="V111" s="40"/>
      <c r="W111" s="18"/>
      <c r="X111" s="18"/>
    </row>
    <row r="112" spans="1:26" ht="15" customHeight="1" x14ac:dyDescent="0.25">
      <c r="A112" s="10"/>
      <c r="B112" s="50" t="s">
        <v>298</v>
      </c>
      <c r="D112" s="18"/>
      <c r="E112" s="18"/>
      <c r="G112" s="18"/>
      <c r="H112" s="18"/>
      <c r="I112" s="18"/>
      <c r="J112" s="40"/>
      <c r="K112" s="18"/>
      <c r="L112" s="18"/>
      <c r="M112" s="18"/>
      <c r="P112" s="18"/>
      <c r="Q112" s="18"/>
      <c r="R112" s="40"/>
      <c r="S112" s="18"/>
      <c r="T112" s="18"/>
      <c r="U112" s="18"/>
      <c r="V112" s="40"/>
      <c r="W112" s="18"/>
      <c r="X112" s="18"/>
    </row>
    <row r="113" spans="1:24" ht="15" customHeight="1" x14ac:dyDescent="0.25">
      <c r="A113" s="10"/>
      <c r="B113" s="58"/>
      <c r="D113" s="18"/>
      <c r="E113" s="18"/>
      <c r="G113" s="18"/>
      <c r="H113" s="18"/>
      <c r="I113" s="18"/>
      <c r="J113" s="40"/>
      <c r="K113" s="18"/>
      <c r="L113" s="18"/>
      <c r="M113" s="18"/>
      <c r="P113" s="18"/>
      <c r="Q113" s="18"/>
      <c r="R113" s="40"/>
      <c r="S113" s="18"/>
      <c r="T113" s="18"/>
      <c r="U113" s="18"/>
      <c r="V113" s="40"/>
      <c r="W113" s="18"/>
      <c r="X113" s="18"/>
    </row>
    <row r="114" spans="1:24" ht="15" customHeight="1" x14ac:dyDescent="0.25">
      <c r="D114" s="18"/>
      <c r="E114" s="18"/>
      <c r="G114" s="18"/>
      <c r="H114" s="18"/>
      <c r="I114" s="18"/>
      <c r="J114" s="40"/>
      <c r="K114" s="18"/>
      <c r="L114" s="18"/>
      <c r="M114" s="18"/>
      <c r="P114" s="18"/>
      <c r="Q114" s="18"/>
      <c r="R114" s="40"/>
      <c r="S114" s="18"/>
      <c r="T114" s="18"/>
      <c r="U114" s="18"/>
      <c r="V114" s="40"/>
      <c r="W114" s="18"/>
      <c r="X11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3C46F-2943-EAEF-5534-92E2906003CF}">
  <sheetPr>
    <tabColor rgb="FF92D050"/>
    <outlinePr summaryBelow="0" summaryRight="0"/>
  </sheetPr>
  <dimension ref="A2:Z7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","430"," - ","Res Hall Management")</f>
        <v>Department 430 - Res Hall Management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x14ac:dyDescent="0.25">
      <c r="A12" s="11"/>
      <c r="B12" s="27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25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25">
      <c r="A14" s="11"/>
      <c r="B14" s="27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25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25">
      <c r="A16" s="11"/>
      <c r="B16" s="28" t="s">
        <v>289</v>
      </c>
      <c r="C16" s="28"/>
      <c r="D16" s="22">
        <f>D12-D14</f>
        <v>0</v>
      </c>
      <c r="E16" s="15"/>
      <c r="F16" s="21">
        <f>IF(D$12=0,0,D16/D$12)</f>
        <v>0</v>
      </c>
      <c r="G16" s="15"/>
      <c r="H16" s="22">
        <f>H12-H14</f>
        <v>0</v>
      </c>
      <c r="I16" s="15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7"/>
      <c r="P16" s="22">
        <f>P12-P14</f>
        <v>0</v>
      </c>
      <c r="Q16" s="15"/>
      <c r="R16" s="21">
        <f>IF(P$12=0,0,P16/P$12)</f>
        <v>0</v>
      </c>
      <c r="S16" s="15"/>
      <c r="T16" s="22">
        <f>T12-T14</f>
        <v>0</v>
      </c>
      <c r="U16" s="15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ht="15" customHeight="1" x14ac:dyDescent="0.25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25">
      <c r="A18" s="11"/>
      <c r="B18" s="27" t="s">
        <v>290</v>
      </c>
      <c r="C18" s="11"/>
      <c r="D18" s="23" cm="1">
        <f t="array" ref="D18">SUM(OSRRefD22x_0)</f>
        <v>28291.51</v>
      </c>
      <c r="E18" s="23"/>
      <c r="F18" s="31">
        <f t="shared" ref="F18:F56" si="0">IF(D$12=0,0,D18/D$12)</f>
        <v>0</v>
      </c>
      <c r="G18" s="23"/>
      <c r="H18" s="23" cm="1">
        <f t="array" ref="H18">SUM(OSRRefH22x_0)</f>
        <v>17497.431652200001</v>
      </c>
      <c r="I18" s="23"/>
      <c r="J18" s="31">
        <f t="shared" ref="J18:J56" si="1">IF(H$12=0,0,H18/H$12)</f>
        <v>0</v>
      </c>
      <c r="K18" s="5"/>
      <c r="L18" s="23">
        <f t="shared" ref="L18:L56" si="2">+D18-H18</f>
        <v>10794.078347799998</v>
      </c>
      <c r="M18" s="5"/>
      <c r="N18" s="31">
        <f t="shared" ref="N18:N56" si="3">IF(H18=0,0,L18/H18)</f>
        <v>0.61689501421443349</v>
      </c>
      <c r="O18" s="11"/>
      <c r="P18" s="23" cm="1">
        <f t="array" ref="P18">SUM(OSRRefP22x_0)</f>
        <v>230580.63</v>
      </c>
      <c r="Q18" s="23"/>
      <c r="R18" s="31">
        <f t="shared" ref="R18:R56" si="4">IF(P$12=0,0,P18/P$12)</f>
        <v>0</v>
      </c>
      <c r="S18" s="23"/>
      <c r="T18" s="23" cm="1">
        <f t="array" ref="T18">SUM(OSRRefT22x_0)</f>
        <v>201466.58839709999</v>
      </c>
      <c r="U18" s="23"/>
      <c r="V18" s="31">
        <f t="shared" ref="V18:V56" si="5">IF(T$12=0,0,T18/T$12)</f>
        <v>0</v>
      </c>
      <c r="W18" s="5"/>
      <c r="X18" s="23">
        <f t="shared" ref="X18:X56" si="6">+P18-T18</f>
        <v>29114.041602900019</v>
      </c>
      <c r="Y18" s="5"/>
      <c r="Z18" s="31">
        <f t="shared" ref="Z18:Z56" si="7">IF(T18=0,0,X18/T18)</f>
        <v>0.14451052074954926</v>
      </c>
    </row>
    <row r="19" spans="1:26" s="69" customFormat="1" ht="15" customHeight="1" outlineLevel="1" collapsed="1" x14ac:dyDescent="0.25">
      <c r="A19" s="26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5852.9999999999991</v>
      </c>
      <c r="E19" s="2"/>
      <c r="F19" s="6">
        <f t="shared" si="0"/>
        <v>0</v>
      </c>
      <c r="G19" s="2"/>
      <c r="H19" s="2">
        <f>SUM(OSRRefH22_0x_0)</f>
        <v>4307.0286522000006</v>
      </c>
      <c r="I19" s="2"/>
      <c r="J19" s="6">
        <f t="shared" si="1"/>
        <v>0</v>
      </c>
      <c r="K19" s="2"/>
      <c r="L19" s="2">
        <f t="shared" si="2"/>
        <v>1545.9713477999985</v>
      </c>
      <c r="M19" s="2"/>
      <c r="N19" s="6">
        <f t="shared" si="3"/>
        <v>0.35894150530211288</v>
      </c>
      <c r="O19" s="14"/>
      <c r="P19" s="2">
        <f>SUM(OSRRefP22_0x_0)</f>
        <v>66541.070000000007</v>
      </c>
      <c r="Q19" s="2"/>
      <c r="R19" s="6">
        <f t="shared" si="4"/>
        <v>0</v>
      </c>
      <c r="S19" s="2"/>
      <c r="T19" s="2">
        <f>SUM(OSRRefT22_0x_0)</f>
        <v>49266.221897099989</v>
      </c>
      <c r="U19" s="2"/>
      <c r="V19" s="6">
        <f t="shared" si="5"/>
        <v>0</v>
      </c>
      <c r="W19" s="2"/>
      <c r="X19" s="2">
        <f t="shared" si="6"/>
        <v>17274.848102900018</v>
      </c>
      <c r="Y19" s="2"/>
      <c r="Z19" s="6">
        <f t="shared" si="7"/>
        <v>0.35064284285856484</v>
      </c>
    </row>
    <row r="20" spans="1:26" s="70" customFormat="1" ht="15" hidden="1" customHeight="1" outlineLevel="2" x14ac:dyDescent="0.25">
      <c r="A20" s="25"/>
      <c r="B20" s="12" t="str">
        <f>CONCATENATE("          ","6111"," - ","F.I.C.A.")</f>
        <v xml:space="preserve">          6111 - F.I.C.A.</v>
      </c>
      <c r="C20" s="12"/>
      <c r="D20" s="8">
        <v>718.56</v>
      </c>
      <c r="E20" s="3"/>
      <c r="F20" s="7">
        <f t="shared" si="0"/>
        <v>0</v>
      </c>
      <c r="G20" s="3"/>
      <c r="H20" s="8">
        <v>706.12241219999999</v>
      </c>
      <c r="I20" s="3"/>
      <c r="J20" s="7">
        <f t="shared" si="1"/>
        <v>0</v>
      </c>
      <c r="K20" s="3"/>
      <c r="L20" s="8">
        <f t="shared" si="2"/>
        <v>12.43758779999996</v>
      </c>
      <c r="M20" s="3"/>
      <c r="N20" s="7">
        <f t="shared" si="3"/>
        <v>1.7613925836526451E-2</v>
      </c>
      <c r="O20" s="12"/>
      <c r="P20" s="8">
        <v>8511.27</v>
      </c>
      <c r="Q20" s="3"/>
      <c r="R20" s="7">
        <f t="shared" si="4"/>
        <v>0</v>
      </c>
      <c r="S20" s="3"/>
      <c r="T20" s="8">
        <v>8339.7855770999995</v>
      </c>
      <c r="U20" s="3"/>
      <c r="V20" s="7">
        <f t="shared" si="5"/>
        <v>0</v>
      </c>
      <c r="W20" s="3"/>
      <c r="X20" s="8">
        <f t="shared" si="6"/>
        <v>171.48442290000094</v>
      </c>
      <c r="Y20" s="3"/>
      <c r="Z20" s="7">
        <f t="shared" si="7"/>
        <v>2.0562210060996719E-2</v>
      </c>
    </row>
    <row r="21" spans="1:26" s="70" customFormat="1" ht="15" hidden="1" customHeight="1" outlineLevel="2" x14ac:dyDescent="0.25">
      <c r="A21" s="25"/>
      <c r="B21" s="12" t="str">
        <f>CONCATENATE("          ","6112"," - ","COMPENSATION INSURANCE")</f>
        <v xml:space="preserve">          6112 - COMPENSATION INSURANCE</v>
      </c>
      <c r="C21" s="12"/>
      <c r="D21" s="8">
        <v>508.57</v>
      </c>
      <c r="E21" s="3"/>
      <c r="F21" s="7">
        <f t="shared" si="0"/>
        <v>0</v>
      </c>
      <c r="G21" s="3"/>
      <c r="H21" s="8">
        <v>349.69344599999999</v>
      </c>
      <c r="I21" s="3"/>
      <c r="J21" s="7">
        <f t="shared" si="1"/>
        <v>0</v>
      </c>
      <c r="K21" s="3"/>
      <c r="L21" s="8">
        <f t="shared" si="2"/>
        <v>158.876554</v>
      </c>
      <c r="M21" s="3"/>
      <c r="N21" s="7">
        <f t="shared" si="3"/>
        <v>0.4543309456248717</v>
      </c>
      <c r="O21" s="12"/>
      <c r="P21" s="8">
        <v>3997.01</v>
      </c>
      <c r="Q21" s="3"/>
      <c r="R21" s="7">
        <f t="shared" si="4"/>
        <v>0</v>
      </c>
      <c r="S21" s="3"/>
      <c r="T21" s="8">
        <v>4130.1172530000003</v>
      </c>
      <c r="U21" s="3"/>
      <c r="V21" s="7">
        <f t="shared" si="5"/>
        <v>0</v>
      </c>
      <c r="W21" s="3"/>
      <c r="X21" s="8">
        <f t="shared" si="6"/>
        <v>-133.10725300000013</v>
      </c>
      <c r="Y21" s="3"/>
      <c r="Z21" s="7">
        <f t="shared" si="7"/>
        <v>-3.2228444096427236E-2</v>
      </c>
    </row>
    <row r="22" spans="1:26" s="70" customFormat="1" ht="15" hidden="1" customHeight="1" outlineLevel="2" x14ac:dyDescent="0.25">
      <c r="A22" s="25"/>
      <c r="B22" s="12" t="str">
        <f>CONCATENATE("          ","6113"," - ","GROUP INSURANCE")</f>
        <v xml:space="preserve">          6113 - GROUP INSURANCE</v>
      </c>
      <c r="C22" s="12"/>
      <c r="D22" s="8">
        <v>2467.5700000000002</v>
      </c>
      <c r="E22" s="3"/>
      <c r="F22" s="7">
        <f t="shared" si="0"/>
        <v>0</v>
      </c>
      <c r="G22" s="3"/>
      <c r="H22" s="8">
        <v>1977</v>
      </c>
      <c r="I22" s="3"/>
      <c r="J22" s="7">
        <f t="shared" si="1"/>
        <v>0</v>
      </c>
      <c r="K22" s="3"/>
      <c r="L22" s="8">
        <f t="shared" si="2"/>
        <v>490.57000000000016</v>
      </c>
      <c r="M22" s="3"/>
      <c r="N22" s="7">
        <f t="shared" si="3"/>
        <v>0.24813859382903397</v>
      </c>
      <c r="O22" s="12"/>
      <c r="P22" s="8">
        <v>28476.98</v>
      </c>
      <c r="Q22" s="3"/>
      <c r="R22" s="7">
        <f t="shared" si="4"/>
        <v>0</v>
      </c>
      <c r="S22" s="3"/>
      <c r="T22" s="8">
        <v>21747</v>
      </c>
      <c r="U22" s="3"/>
      <c r="V22" s="7">
        <f t="shared" si="5"/>
        <v>0</v>
      </c>
      <c r="W22" s="3"/>
      <c r="X22" s="8">
        <f t="shared" si="6"/>
        <v>6729.98</v>
      </c>
      <c r="Y22" s="3"/>
      <c r="Z22" s="7">
        <f t="shared" si="7"/>
        <v>0.30946705292684046</v>
      </c>
    </row>
    <row r="23" spans="1:26" s="70" customFormat="1" ht="15" hidden="1" customHeight="1" outlineLevel="2" x14ac:dyDescent="0.25">
      <c r="A23" s="25"/>
      <c r="B23" s="12" t="str">
        <f>CONCATENATE("          ","6114"," - ","STATE UNEMPLOYMENT INSURANCE")</f>
        <v xml:space="preserve">          6114 - STATE UNEMPLOYMENT INSURANCE</v>
      </c>
      <c r="C23" s="12"/>
      <c r="D23" s="8">
        <v>36.729999999999997</v>
      </c>
      <c r="E23" s="3"/>
      <c r="F23" s="7">
        <f t="shared" si="0"/>
        <v>0</v>
      </c>
      <c r="G23" s="3"/>
      <c r="H23" s="8">
        <v>19.376154</v>
      </c>
      <c r="I23" s="3"/>
      <c r="J23" s="7">
        <f t="shared" si="1"/>
        <v>0</v>
      </c>
      <c r="K23" s="3"/>
      <c r="L23" s="8">
        <f t="shared" si="2"/>
        <v>17.353845999999997</v>
      </c>
      <c r="M23" s="3"/>
      <c r="N23" s="7">
        <f t="shared" si="3"/>
        <v>0.89562902937290845</v>
      </c>
      <c r="O23" s="12"/>
      <c r="P23" s="8">
        <v>288.66000000000003</v>
      </c>
      <c r="Q23" s="3"/>
      <c r="R23" s="7">
        <f t="shared" si="4"/>
        <v>0</v>
      </c>
      <c r="S23" s="3"/>
      <c r="T23" s="8">
        <v>228.84554700000001</v>
      </c>
      <c r="U23" s="3"/>
      <c r="V23" s="7">
        <f t="shared" si="5"/>
        <v>0</v>
      </c>
      <c r="W23" s="3"/>
      <c r="X23" s="8">
        <f t="shared" si="6"/>
        <v>59.814453000000015</v>
      </c>
      <c r="Y23" s="3"/>
      <c r="Z23" s="7">
        <f t="shared" si="7"/>
        <v>0.26137477344053373</v>
      </c>
    </row>
    <row r="24" spans="1:26" s="70" customFormat="1" ht="15" hidden="1" customHeight="1" outlineLevel="2" x14ac:dyDescent="0.25">
      <c r="A24" s="25"/>
      <c r="B24" s="12" t="str">
        <f>CONCATENATE("          ","6115"," - ","P.E.R.S.")</f>
        <v xml:space="preserve">          6115 - P.E.R.S.</v>
      </c>
      <c r="C24" s="12"/>
      <c r="D24" s="8">
        <v>707.23</v>
      </c>
      <c r="E24" s="3"/>
      <c r="F24" s="7">
        <f t="shared" si="0"/>
        <v>0</v>
      </c>
      <c r="G24" s="3"/>
      <c r="H24" s="8">
        <v>793.49964</v>
      </c>
      <c r="I24" s="3"/>
      <c r="J24" s="7">
        <f t="shared" si="1"/>
        <v>0</v>
      </c>
      <c r="K24" s="3"/>
      <c r="L24" s="8">
        <f t="shared" si="2"/>
        <v>-86.269639999999981</v>
      </c>
      <c r="M24" s="3"/>
      <c r="N24" s="7">
        <f t="shared" si="3"/>
        <v>-0.10872045260159158</v>
      </c>
      <c r="O24" s="12"/>
      <c r="P24" s="8">
        <v>8222.9</v>
      </c>
      <c r="Q24" s="3"/>
      <c r="R24" s="7">
        <f t="shared" si="4"/>
        <v>0</v>
      </c>
      <c r="S24" s="3"/>
      <c r="T24" s="8">
        <v>9371.7700199999999</v>
      </c>
      <c r="U24" s="3"/>
      <c r="V24" s="7">
        <f t="shared" si="5"/>
        <v>0</v>
      </c>
      <c r="W24" s="3"/>
      <c r="X24" s="8">
        <f t="shared" si="6"/>
        <v>-1148.8700200000003</v>
      </c>
      <c r="Y24" s="3"/>
      <c r="Z24" s="7">
        <f t="shared" si="7"/>
        <v>-0.12258837098522829</v>
      </c>
    </row>
    <row r="25" spans="1:26" s="70" customFormat="1" ht="15" hidden="1" customHeight="1" outlineLevel="2" x14ac:dyDescent="0.25">
      <c r="A25" s="25"/>
      <c r="B25" s="12" t="str">
        <f>CONCATENATE("          ","6116"," - ","EDUCATIONAL BENEFITS")</f>
        <v xml:space="preserve">          6116 - EDUCATIONAL BENEFITS</v>
      </c>
      <c r="C25" s="12"/>
      <c r="D25" s="8"/>
      <c r="E25" s="3"/>
      <c r="F25" s="7">
        <f t="shared" si="0"/>
        <v>0</v>
      </c>
      <c r="G25" s="3"/>
      <c r="H25" s="8">
        <v>0</v>
      </c>
      <c r="I25" s="3"/>
      <c r="J25" s="7">
        <f t="shared" si="1"/>
        <v>0</v>
      </c>
      <c r="K25" s="3"/>
      <c r="L25" s="8">
        <f t="shared" si="2"/>
        <v>0</v>
      </c>
      <c r="M25" s="3"/>
      <c r="N25" s="7">
        <f t="shared" si="3"/>
        <v>0</v>
      </c>
      <c r="O25" s="12"/>
      <c r="P25" s="8"/>
      <c r="Q25" s="3"/>
      <c r="R25" s="7">
        <f t="shared" si="4"/>
        <v>0</v>
      </c>
      <c r="S25" s="3"/>
      <c r="T25" s="8">
        <v>0</v>
      </c>
      <c r="U25" s="3"/>
      <c r="V25" s="7">
        <f t="shared" si="5"/>
        <v>0</v>
      </c>
      <c r="W25" s="3"/>
      <c r="X25" s="8">
        <f t="shared" si="6"/>
        <v>0</v>
      </c>
      <c r="Y25" s="3"/>
      <c r="Z25" s="7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","6118"," - ","VACATION")</f>
        <v xml:space="preserve">          6118 - VACATION</v>
      </c>
      <c r="C26" s="12"/>
      <c r="D26" s="8">
        <v>860.74</v>
      </c>
      <c r="E26" s="3"/>
      <c r="F26" s="7">
        <f t="shared" si="0"/>
        <v>0</v>
      </c>
      <c r="G26" s="3"/>
      <c r="H26" s="8">
        <v>276.80220000000003</v>
      </c>
      <c r="I26" s="3"/>
      <c r="J26" s="7">
        <f t="shared" si="1"/>
        <v>0</v>
      </c>
      <c r="K26" s="3"/>
      <c r="L26" s="8">
        <f t="shared" si="2"/>
        <v>583.93779999999992</v>
      </c>
      <c r="M26" s="3"/>
      <c r="N26" s="7">
        <f t="shared" si="3"/>
        <v>2.1095851116790252</v>
      </c>
      <c r="O26" s="12"/>
      <c r="P26" s="8">
        <v>10097.530000000001</v>
      </c>
      <c r="Q26" s="3"/>
      <c r="R26" s="7">
        <f t="shared" si="4"/>
        <v>0</v>
      </c>
      <c r="S26" s="3"/>
      <c r="T26" s="8">
        <v>3269.2221</v>
      </c>
      <c r="U26" s="3"/>
      <c r="V26" s="7">
        <f t="shared" si="5"/>
        <v>0</v>
      </c>
      <c r="W26" s="3"/>
      <c r="X26" s="8">
        <f t="shared" si="6"/>
        <v>6828.3079000000007</v>
      </c>
      <c r="Y26" s="3"/>
      <c r="Z26" s="7">
        <f t="shared" si="7"/>
        <v>2.0886644257054301</v>
      </c>
    </row>
    <row r="27" spans="1:26" s="70" customFormat="1" ht="15" hidden="1" customHeight="1" outlineLevel="2" x14ac:dyDescent="0.25">
      <c r="A27" s="25"/>
      <c r="B27" s="12" t="str">
        <f>CONCATENATE("          ","6119"," - ","SICK LEAVE")</f>
        <v xml:space="preserve">          6119 - SICK LEAVE</v>
      </c>
      <c r="C27" s="12"/>
      <c r="D27" s="8">
        <v>429.78</v>
      </c>
      <c r="E27" s="3"/>
      <c r="F27" s="7">
        <f t="shared" si="0"/>
        <v>0</v>
      </c>
      <c r="G27" s="3"/>
      <c r="H27" s="8">
        <v>184.53479999999999</v>
      </c>
      <c r="I27" s="3"/>
      <c r="J27" s="7">
        <f t="shared" si="1"/>
        <v>0</v>
      </c>
      <c r="K27" s="3"/>
      <c r="L27" s="8">
        <f t="shared" si="2"/>
        <v>245.24519999999998</v>
      </c>
      <c r="M27" s="3"/>
      <c r="N27" s="7">
        <f t="shared" si="3"/>
        <v>1.3289916048355106</v>
      </c>
      <c r="O27" s="12"/>
      <c r="P27" s="8">
        <v>5827.87</v>
      </c>
      <c r="Q27" s="3"/>
      <c r="R27" s="7">
        <f t="shared" si="4"/>
        <v>0</v>
      </c>
      <c r="S27" s="3"/>
      <c r="T27" s="8">
        <v>2179.4814000000001</v>
      </c>
      <c r="U27" s="3"/>
      <c r="V27" s="7">
        <f t="shared" si="5"/>
        <v>0</v>
      </c>
      <c r="W27" s="3"/>
      <c r="X27" s="8">
        <f t="shared" si="6"/>
        <v>3648.3885999999998</v>
      </c>
      <c r="Y27" s="3"/>
      <c r="Z27" s="7">
        <f t="shared" si="7"/>
        <v>1.673970973094792</v>
      </c>
    </row>
    <row r="28" spans="1:26" s="70" customFormat="1" ht="15" hidden="1" customHeight="1" outlineLevel="2" x14ac:dyDescent="0.25">
      <c r="A28" s="25"/>
      <c r="B28" s="12" t="str">
        <f>CONCATENATE("          ","6156"," - ","EMPLOYEE MEALS")</f>
        <v xml:space="preserve">          6156 - EMPLOYEE MEALS</v>
      </c>
      <c r="C28" s="12"/>
      <c r="D28" s="8">
        <v>123.82</v>
      </c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123.82</v>
      </c>
      <c r="M28" s="3"/>
      <c r="N28" s="7">
        <f t="shared" si="3"/>
        <v>0</v>
      </c>
      <c r="O28" s="12"/>
      <c r="P28" s="8">
        <v>1118.8499999999999</v>
      </c>
      <c r="Q28" s="3"/>
      <c r="R28" s="7">
        <f t="shared" si="4"/>
        <v>0</v>
      </c>
      <c r="S28" s="3"/>
      <c r="T28" s="8"/>
      <c r="U28" s="3"/>
      <c r="V28" s="7">
        <f t="shared" si="5"/>
        <v>0</v>
      </c>
      <c r="W28" s="3"/>
      <c r="X28" s="8">
        <f t="shared" si="6"/>
        <v>1118.8499999999999</v>
      </c>
      <c r="Y28" s="3"/>
      <c r="Z28" s="7">
        <f t="shared" si="7"/>
        <v>0</v>
      </c>
    </row>
    <row r="29" spans="1:26" s="69" customFormat="1" ht="15" customHeight="1" outlineLevel="1" collapsed="1" x14ac:dyDescent="0.25">
      <c r="A29" s="26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9317.92</v>
      </c>
      <c r="E29" s="2"/>
      <c r="F29" s="6">
        <f t="shared" si="0"/>
        <v>0</v>
      </c>
      <c r="G29" s="2"/>
      <c r="H29" s="2">
        <f>SUM(OSRRefH22_1x_0)</f>
        <v>8765.4030000000002</v>
      </c>
      <c r="I29" s="2"/>
      <c r="J29" s="6">
        <f t="shared" si="1"/>
        <v>0</v>
      </c>
      <c r="K29" s="2"/>
      <c r="L29" s="2">
        <f t="shared" si="2"/>
        <v>552.51699999999983</v>
      </c>
      <c r="M29" s="2"/>
      <c r="N29" s="6">
        <f t="shared" si="3"/>
        <v>6.3033838832053685E-2</v>
      </c>
      <c r="O29" s="14"/>
      <c r="P29" s="2">
        <f>SUM(OSRRefP22_1x_0)</f>
        <v>103733.48</v>
      </c>
      <c r="Q29" s="2"/>
      <c r="R29" s="6">
        <f t="shared" si="4"/>
        <v>0</v>
      </c>
      <c r="S29" s="2"/>
      <c r="T29" s="2">
        <f>SUM(OSRRefT22_1x_0)</f>
        <v>103525.3665</v>
      </c>
      <c r="U29" s="2"/>
      <c r="V29" s="6">
        <f t="shared" si="5"/>
        <v>0</v>
      </c>
      <c r="W29" s="2"/>
      <c r="X29" s="2">
        <f t="shared" si="6"/>
        <v>208.1134999999922</v>
      </c>
      <c r="Y29" s="2"/>
      <c r="Z29" s="6">
        <f t="shared" si="7"/>
        <v>2.0102657641882602E-3</v>
      </c>
    </row>
    <row r="30" spans="1:26" s="70" customFormat="1" ht="15" hidden="1" customHeight="1" outlineLevel="2" x14ac:dyDescent="0.25">
      <c r="A30" s="25"/>
      <c r="B30" s="12" t="str">
        <f>CONCATENATE("          ","6001"," - ","ADMINISTRATIVE SALARIES")</f>
        <v xml:space="preserve">          6001 - ADMINISTRATIVE SALARIES</v>
      </c>
      <c r="C30" s="12"/>
      <c r="D30" s="8">
        <v>9317.92</v>
      </c>
      <c r="E30" s="3"/>
      <c r="F30" s="7">
        <f t="shared" si="0"/>
        <v>0</v>
      </c>
      <c r="G30" s="3"/>
      <c r="H30" s="8">
        <v>0</v>
      </c>
      <c r="I30" s="3"/>
      <c r="J30" s="7">
        <f t="shared" si="1"/>
        <v>0</v>
      </c>
      <c r="K30" s="3"/>
      <c r="L30" s="8">
        <f t="shared" si="2"/>
        <v>9317.92</v>
      </c>
      <c r="M30" s="3"/>
      <c r="N30" s="7">
        <f t="shared" si="3"/>
        <v>0</v>
      </c>
      <c r="O30" s="12"/>
      <c r="P30" s="8">
        <v>103733.48</v>
      </c>
      <c r="Q30" s="3"/>
      <c r="R30" s="7">
        <f t="shared" si="4"/>
        <v>0</v>
      </c>
      <c r="S30" s="3"/>
      <c r="T30" s="8">
        <v>0</v>
      </c>
      <c r="U30" s="3"/>
      <c r="V30" s="7">
        <f t="shared" si="5"/>
        <v>0</v>
      </c>
      <c r="W30" s="3"/>
      <c r="X30" s="8">
        <f t="shared" si="6"/>
        <v>103733.48</v>
      </c>
      <c r="Y30" s="3"/>
      <c r="Z30" s="7">
        <f t="shared" si="7"/>
        <v>0</v>
      </c>
    </row>
    <row r="31" spans="1:26" s="70" customFormat="1" ht="15" hidden="1" customHeight="1" outlineLevel="2" x14ac:dyDescent="0.25">
      <c r="A31" s="25"/>
      <c r="B31" s="12" t="str">
        <f>CONCATENATE("          ","6002"," - ","STAFF SALARIES")</f>
        <v xml:space="preserve">          6002 - STAFF SALARIES</v>
      </c>
      <c r="C31" s="12"/>
      <c r="D31" s="8"/>
      <c r="E31" s="3"/>
      <c r="F31" s="7">
        <f t="shared" si="0"/>
        <v>0</v>
      </c>
      <c r="G31" s="3"/>
      <c r="H31" s="8">
        <v>8765.4030000000002</v>
      </c>
      <c r="I31" s="3"/>
      <c r="J31" s="7">
        <f t="shared" si="1"/>
        <v>0</v>
      </c>
      <c r="K31" s="3"/>
      <c r="L31" s="8">
        <f t="shared" si="2"/>
        <v>-8765.4030000000002</v>
      </c>
      <c r="M31" s="3"/>
      <c r="N31" s="7">
        <f t="shared" si="3"/>
        <v>-1</v>
      </c>
      <c r="O31" s="12"/>
      <c r="P31" s="8"/>
      <c r="Q31" s="3"/>
      <c r="R31" s="7">
        <f t="shared" si="4"/>
        <v>0</v>
      </c>
      <c r="S31" s="3"/>
      <c r="T31" s="8">
        <v>103525.3665</v>
      </c>
      <c r="U31" s="3"/>
      <c r="V31" s="7">
        <f t="shared" si="5"/>
        <v>0</v>
      </c>
      <c r="W31" s="3"/>
      <c r="X31" s="8">
        <f t="shared" si="6"/>
        <v>-103525.3665</v>
      </c>
      <c r="Y31" s="3"/>
      <c r="Z31" s="7">
        <f t="shared" si="7"/>
        <v>-1</v>
      </c>
    </row>
    <row r="32" spans="1:26" s="70" customFormat="1" ht="15" hidden="1" customHeight="1" outlineLevel="2" x14ac:dyDescent="0.25">
      <c r="A32" s="25"/>
      <c r="B32" s="12" t="str">
        <f>CONCATENATE("          ","6003"," - ","STAFF HOURLY-9 MONTH")</f>
        <v xml:space="preserve">          6003 - STAFF HOURLY-9 MONTH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","6004"," - ","STAFF HOURLY")</f>
        <v xml:space="preserve">          6004 - STAFF HOURLY</v>
      </c>
      <c r="C33" s="12"/>
      <c r="D33" s="8"/>
      <c r="E33" s="3"/>
      <c r="F33" s="7">
        <f t="shared" si="0"/>
        <v>0</v>
      </c>
      <c r="G33" s="3"/>
      <c r="H33" s="8">
        <v>0</v>
      </c>
      <c r="I33" s="3"/>
      <c r="J33" s="7">
        <f t="shared" si="1"/>
        <v>0</v>
      </c>
      <c r="K33" s="3"/>
      <c r="L33" s="8">
        <f t="shared" si="2"/>
        <v>0</v>
      </c>
      <c r="M33" s="3"/>
      <c r="N33" s="7">
        <f t="shared" si="3"/>
        <v>0</v>
      </c>
      <c r="O33" s="12"/>
      <c r="P33" s="8"/>
      <c r="Q33" s="3"/>
      <c r="R33" s="7">
        <f t="shared" si="4"/>
        <v>0</v>
      </c>
      <c r="S33" s="3"/>
      <c r="T33" s="8">
        <v>0</v>
      </c>
      <c r="U33" s="3"/>
      <c r="V33" s="7">
        <f t="shared" si="5"/>
        <v>0</v>
      </c>
      <c r="W33" s="3"/>
      <c r="X33" s="8">
        <f t="shared" si="6"/>
        <v>0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","6005"," - ","TEMPORARY WAGES-HOURLY")</f>
        <v xml:space="preserve">          6005 - TEMPORARY WAGES-HOURLY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","6006"," - ","TEMPORARY PART TIME")</f>
        <v xml:space="preserve">          6006 - TEMPORARY PART TIME</v>
      </c>
      <c r="C35" s="12"/>
      <c r="D35" s="8"/>
      <c r="E35" s="3"/>
      <c r="F35" s="7">
        <f t="shared" si="0"/>
        <v>0</v>
      </c>
      <c r="G35" s="3"/>
      <c r="H35" s="8">
        <v>0</v>
      </c>
      <c r="I35" s="3"/>
      <c r="J35" s="7">
        <f t="shared" si="1"/>
        <v>0</v>
      </c>
      <c r="K35" s="3"/>
      <c r="L35" s="8">
        <f t="shared" si="2"/>
        <v>0</v>
      </c>
      <c r="M35" s="3"/>
      <c r="N35" s="7">
        <f t="shared" si="3"/>
        <v>0</v>
      </c>
      <c r="O35" s="12"/>
      <c r="P35" s="8"/>
      <c r="Q35" s="3"/>
      <c r="R35" s="7">
        <f t="shared" si="4"/>
        <v>0</v>
      </c>
      <c r="S35" s="3"/>
      <c r="T35" s="8">
        <v>0</v>
      </c>
      <c r="U35" s="3"/>
      <c r="V35" s="7">
        <f t="shared" si="5"/>
        <v>0</v>
      </c>
      <c r="W35" s="3"/>
      <c r="X35" s="8">
        <f t="shared" si="6"/>
        <v>0</v>
      </c>
      <c r="Y35" s="3"/>
      <c r="Z35" s="7">
        <f t="shared" si="7"/>
        <v>0</v>
      </c>
    </row>
    <row r="36" spans="1:26" s="70" customFormat="1" ht="15" hidden="1" customHeight="1" outlineLevel="2" x14ac:dyDescent="0.25">
      <c r="A36" s="25"/>
      <c r="B36" s="12" t="str">
        <f>CONCATENATE("          ","6007"," - ","STUDENT HOURLY")</f>
        <v xml:space="preserve">          6007 - STUDENT HOURLY</v>
      </c>
      <c r="C36" s="12"/>
      <c r="D36" s="8"/>
      <c r="E36" s="3"/>
      <c r="F36" s="7">
        <f t="shared" si="0"/>
        <v>0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0</v>
      </c>
      <c r="M36" s="3"/>
      <c r="N36" s="7">
        <f t="shared" si="3"/>
        <v>0</v>
      </c>
      <c r="O36" s="12"/>
      <c r="P36" s="8"/>
      <c r="Q36" s="3"/>
      <c r="R36" s="7">
        <f t="shared" si="4"/>
        <v>0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0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","6008"," - ","STUDENT HOURLY-FICA EXEMPT")</f>
        <v xml:space="preserve">          6008 - STUDENT HOURLY-FICA EXEMPT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","6009"," - ","TEMPORARY-SEASONAL")</f>
        <v xml:space="preserve">          6009 - TEMPORARY-SEASONAL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","6010"," - ","GRATUITY")</f>
        <v xml:space="preserve">          6010 - GRATUITY</v>
      </c>
      <c r="C39" s="12"/>
      <c r="D39" s="8"/>
      <c r="E39" s="3"/>
      <c r="F39" s="7">
        <f t="shared" si="0"/>
        <v>0</v>
      </c>
      <c r="G39" s="3"/>
      <c r="H39" s="8">
        <v>0</v>
      </c>
      <c r="I39" s="3"/>
      <c r="J39" s="7">
        <f t="shared" si="1"/>
        <v>0</v>
      </c>
      <c r="K39" s="3"/>
      <c r="L39" s="8">
        <f t="shared" si="2"/>
        <v>0</v>
      </c>
      <c r="M39" s="3"/>
      <c r="N39" s="7">
        <f t="shared" si="3"/>
        <v>0</v>
      </c>
      <c r="O39" s="12"/>
      <c r="P39" s="8"/>
      <c r="Q39" s="3"/>
      <c r="R39" s="7">
        <f t="shared" si="4"/>
        <v>0</v>
      </c>
      <c r="S39" s="3"/>
      <c r="T39" s="8">
        <v>0</v>
      </c>
      <c r="U39" s="3"/>
      <c r="V39" s="7">
        <f t="shared" si="5"/>
        <v>0</v>
      </c>
      <c r="W39" s="3"/>
      <c r="X39" s="8">
        <f t="shared" si="6"/>
        <v>0</v>
      </c>
      <c r="Y39" s="3"/>
      <c r="Z39" s="7">
        <f t="shared" si="7"/>
        <v>0</v>
      </c>
    </row>
    <row r="40" spans="1:26" s="69" customFormat="1" ht="15" customHeight="1" outlineLevel="1" collapsed="1" x14ac:dyDescent="0.25">
      <c r="A40" s="26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45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45</v>
      </c>
      <c r="Y40" s="2"/>
      <c r="Z40" s="6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","6362"," - ","ADVERTISING EXPENSE")</f>
        <v xml:space="preserve">          6362 - ADVERTISING EXPENSE</v>
      </c>
      <c r="C41" s="12"/>
      <c r="D41" s="8"/>
      <c r="E41" s="3"/>
      <c r="F41" s="7">
        <f t="shared" si="0"/>
        <v>0</v>
      </c>
      <c r="G41" s="3"/>
      <c r="H41" s="8"/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>
        <v>45</v>
      </c>
      <c r="Q41" s="3"/>
      <c r="R41" s="7">
        <f t="shared" si="4"/>
        <v>0</v>
      </c>
      <c r="S41" s="3"/>
      <c r="T41" s="8"/>
      <c r="U41" s="3"/>
      <c r="V41" s="7">
        <f t="shared" si="5"/>
        <v>0</v>
      </c>
      <c r="W41" s="3"/>
      <c r="X41" s="8">
        <f t="shared" si="6"/>
        <v>45</v>
      </c>
      <c r="Y41" s="3"/>
      <c r="Z41" s="7">
        <f t="shared" si="7"/>
        <v>0</v>
      </c>
    </row>
    <row r="42" spans="1:26" s="69" customFormat="1" ht="15" customHeight="1" outlineLevel="1" collapsed="1" x14ac:dyDescent="0.25">
      <c r="A42" s="26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SUM(OSRRefD22_3x_0)</f>
        <v>43.2</v>
      </c>
      <c r="E42" s="2"/>
      <c r="F42" s="6">
        <f t="shared" si="0"/>
        <v>0</v>
      </c>
      <c r="G42" s="2"/>
      <c r="H42" s="2">
        <f>SUM(OSRRefH22_3x_0)</f>
        <v>200</v>
      </c>
      <c r="I42" s="2"/>
      <c r="J42" s="6">
        <f t="shared" si="1"/>
        <v>0</v>
      </c>
      <c r="K42" s="2"/>
      <c r="L42" s="2">
        <f t="shared" si="2"/>
        <v>-156.80000000000001</v>
      </c>
      <c r="M42" s="2"/>
      <c r="N42" s="6">
        <f t="shared" si="3"/>
        <v>-0.78400000000000003</v>
      </c>
      <c r="O42" s="14"/>
      <c r="P42" s="2">
        <f>SUM(OSRRefP22_3x_0)</f>
        <v>795.2</v>
      </c>
      <c r="Q42" s="2"/>
      <c r="R42" s="6">
        <f t="shared" si="4"/>
        <v>0</v>
      </c>
      <c r="S42" s="2"/>
      <c r="T42" s="2">
        <f>SUM(OSRRefT22_3x_0)</f>
        <v>2200</v>
      </c>
      <c r="U42" s="2"/>
      <c r="V42" s="6">
        <f t="shared" si="5"/>
        <v>0</v>
      </c>
      <c r="W42" s="2"/>
      <c r="X42" s="2">
        <f t="shared" si="6"/>
        <v>-1404.8</v>
      </c>
      <c r="Y42" s="2"/>
      <c r="Z42" s="6">
        <f t="shared" si="7"/>
        <v>-0.63854545454545453</v>
      </c>
    </row>
    <row r="43" spans="1:26" s="70" customFormat="1" ht="15" hidden="1" customHeight="1" outlineLevel="2" x14ac:dyDescent="0.25">
      <c r="A43" s="25"/>
      <c r="B43" s="12" t="str">
        <f>CONCATENATE("          ","6279"," - ","GENERAL EXPENSE")</f>
        <v xml:space="preserve">          6279 - GENERAL EXPENSE</v>
      </c>
      <c r="C43" s="12"/>
      <c r="D43" s="8">
        <v>43.2</v>
      </c>
      <c r="E43" s="3"/>
      <c r="F43" s="7">
        <f t="shared" si="0"/>
        <v>0</v>
      </c>
      <c r="G43" s="3"/>
      <c r="H43" s="8">
        <v>200</v>
      </c>
      <c r="I43" s="3"/>
      <c r="J43" s="7">
        <f t="shared" si="1"/>
        <v>0</v>
      </c>
      <c r="K43" s="3"/>
      <c r="L43" s="8">
        <f t="shared" si="2"/>
        <v>-156.80000000000001</v>
      </c>
      <c r="M43" s="3"/>
      <c r="N43" s="7">
        <f t="shared" si="3"/>
        <v>-0.78400000000000003</v>
      </c>
      <c r="O43" s="12"/>
      <c r="P43" s="8">
        <v>795.2</v>
      </c>
      <c r="Q43" s="3"/>
      <c r="R43" s="7">
        <f t="shared" si="4"/>
        <v>0</v>
      </c>
      <c r="S43" s="3"/>
      <c r="T43" s="8">
        <v>2200</v>
      </c>
      <c r="U43" s="3"/>
      <c r="V43" s="7">
        <f t="shared" si="5"/>
        <v>0</v>
      </c>
      <c r="W43" s="3"/>
      <c r="X43" s="8">
        <f t="shared" si="6"/>
        <v>-1404.8</v>
      </c>
      <c r="Y43" s="3"/>
      <c r="Z43" s="7">
        <f t="shared" si="7"/>
        <v>-0.63854545454545453</v>
      </c>
    </row>
    <row r="44" spans="1:26" s="69" customFormat="1" ht="15" customHeight="1" outlineLevel="1" collapsed="1" x14ac:dyDescent="0.25">
      <c r="A44" s="26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3500</v>
      </c>
      <c r="E44" s="2"/>
      <c r="F44" s="6">
        <f t="shared" si="0"/>
        <v>0</v>
      </c>
      <c r="G44" s="2"/>
      <c r="H44" s="2">
        <f>SUM(OSRRefH22_4x_0)</f>
        <v>3500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SUM(OSRRefP22_4x_0)</f>
        <v>38500</v>
      </c>
      <c r="Q44" s="2"/>
      <c r="R44" s="6">
        <f t="shared" si="4"/>
        <v>0</v>
      </c>
      <c r="S44" s="2"/>
      <c r="T44" s="2">
        <f>SUM(OSRRefT22_4x_0)</f>
        <v>38500</v>
      </c>
      <c r="U44" s="2"/>
      <c r="V44" s="6">
        <f t="shared" si="5"/>
        <v>0</v>
      </c>
      <c r="W44" s="2"/>
      <c r="X44" s="2">
        <f t="shared" si="6"/>
        <v>0</v>
      </c>
      <c r="Y44" s="2"/>
      <c r="Z44" s="6">
        <f t="shared" si="7"/>
        <v>0</v>
      </c>
    </row>
    <row r="45" spans="1:26" s="70" customFormat="1" ht="15" hidden="1" customHeight="1" outlineLevel="2" x14ac:dyDescent="0.25">
      <c r="A45" s="25"/>
      <c r="B45" s="12" t="str">
        <f>CONCATENATE("          ","6371"," - ","COMPUTER SOFTWARE MAINTENANCE")</f>
        <v xml:space="preserve">          6371 - COMPUTER SOFTWARE MAINTENANCE</v>
      </c>
      <c r="C45" s="12"/>
      <c r="D45" s="8">
        <v>3500</v>
      </c>
      <c r="E45" s="3"/>
      <c r="F45" s="7">
        <f t="shared" si="0"/>
        <v>0</v>
      </c>
      <c r="G45" s="3"/>
      <c r="H45" s="8">
        <v>3500</v>
      </c>
      <c r="I45" s="3"/>
      <c r="J45" s="7">
        <f t="shared" si="1"/>
        <v>0</v>
      </c>
      <c r="K45" s="3"/>
      <c r="L45" s="8">
        <f t="shared" si="2"/>
        <v>0</v>
      </c>
      <c r="M45" s="3"/>
      <c r="N45" s="7">
        <f t="shared" si="3"/>
        <v>0</v>
      </c>
      <c r="O45" s="12"/>
      <c r="P45" s="8">
        <v>38500</v>
      </c>
      <c r="Q45" s="3"/>
      <c r="R45" s="7">
        <f t="shared" si="4"/>
        <v>0</v>
      </c>
      <c r="S45" s="3"/>
      <c r="T45" s="8">
        <v>38500</v>
      </c>
      <c r="U45" s="3"/>
      <c r="V45" s="7">
        <f t="shared" si="5"/>
        <v>0</v>
      </c>
      <c r="W45" s="3"/>
      <c r="X45" s="8">
        <f t="shared" si="6"/>
        <v>0</v>
      </c>
      <c r="Y45" s="3"/>
      <c r="Z45" s="7">
        <f t="shared" si="7"/>
        <v>0</v>
      </c>
    </row>
    <row r="46" spans="1:26" s="69" customFormat="1" ht="15" customHeight="1" outlineLevel="1" collapsed="1" x14ac:dyDescent="0.25">
      <c r="A46" s="26"/>
      <c r="B46" s="14" t="str">
        <f>CONCATENATE("     ","Supplies                                          ")</f>
        <v xml:space="preserve">     Supplies                                          </v>
      </c>
      <c r="C46" s="14"/>
      <c r="D46" s="2">
        <f>SUM(OSRRefD22_5x_0)</f>
        <v>2059.7999999999997</v>
      </c>
      <c r="E46" s="2"/>
      <c r="F46" s="6">
        <f t="shared" si="0"/>
        <v>0</v>
      </c>
      <c r="G46" s="2"/>
      <c r="H46" s="2">
        <f>SUM(OSRRefH22_5x_0)</f>
        <v>342</v>
      </c>
      <c r="I46" s="2"/>
      <c r="J46" s="6">
        <f t="shared" si="1"/>
        <v>0</v>
      </c>
      <c r="K46" s="2"/>
      <c r="L46" s="2">
        <f t="shared" si="2"/>
        <v>1717.7999999999997</v>
      </c>
      <c r="M46" s="2"/>
      <c r="N46" s="6">
        <f t="shared" si="3"/>
        <v>5.0228070175438591</v>
      </c>
      <c r="O46" s="14"/>
      <c r="P46" s="2">
        <f>SUM(OSRRefP22_5x_0)</f>
        <v>4431.32</v>
      </c>
      <c r="Q46" s="2"/>
      <c r="R46" s="6">
        <f t="shared" si="4"/>
        <v>0</v>
      </c>
      <c r="S46" s="2"/>
      <c r="T46" s="2">
        <f>SUM(OSRRefT22_5x_0)</f>
        <v>3762</v>
      </c>
      <c r="U46" s="2"/>
      <c r="V46" s="6">
        <f t="shared" si="5"/>
        <v>0</v>
      </c>
      <c r="W46" s="2"/>
      <c r="X46" s="2">
        <f t="shared" si="6"/>
        <v>669.31999999999971</v>
      </c>
      <c r="Y46" s="2"/>
      <c r="Z46" s="6">
        <f t="shared" si="7"/>
        <v>0.17791600212652836</v>
      </c>
    </row>
    <row r="47" spans="1:26" s="70" customFormat="1" ht="15" hidden="1" customHeight="1" outlineLevel="2" x14ac:dyDescent="0.25">
      <c r="A47" s="25"/>
      <c r="B47" s="12" t="str">
        <f>CONCATENATE("          ","6234"," - ","EXPENDABLE SUPPLIES &amp; EQUIPMEN")</f>
        <v xml:space="preserve">          6234 - EXPENDABLE SUPPLIES &amp; EQUIPMEN</v>
      </c>
      <c r="C47" s="12"/>
      <c r="D47" s="8"/>
      <c r="E47" s="3"/>
      <c r="F47" s="7">
        <f t="shared" si="0"/>
        <v>0</v>
      </c>
      <c r="G47" s="3"/>
      <c r="H47" s="8">
        <v>342</v>
      </c>
      <c r="I47" s="3"/>
      <c r="J47" s="7">
        <f t="shared" si="1"/>
        <v>0</v>
      </c>
      <c r="K47" s="3"/>
      <c r="L47" s="8">
        <f t="shared" si="2"/>
        <v>-342</v>
      </c>
      <c r="M47" s="3"/>
      <c r="N47" s="7">
        <f t="shared" si="3"/>
        <v>-1</v>
      </c>
      <c r="O47" s="12"/>
      <c r="P47" s="8"/>
      <c r="Q47" s="3"/>
      <c r="R47" s="7">
        <f t="shared" si="4"/>
        <v>0</v>
      </c>
      <c r="S47" s="3"/>
      <c r="T47" s="8">
        <v>3762</v>
      </c>
      <c r="U47" s="3"/>
      <c r="V47" s="7">
        <f t="shared" si="5"/>
        <v>0</v>
      </c>
      <c r="W47" s="3"/>
      <c r="X47" s="8">
        <f t="shared" si="6"/>
        <v>-3762</v>
      </c>
      <c r="Y47" s="3"/>
      <c r="Z47" s="7">
        <f t="shared" si="7"/>
        <v>-1</v>
      </c>
    </row>
    <row r="48" spans="1:26" s="70" customFormat="1" ht="15" hidden="1" customHeight="1" outlineLevel="2" x14ac:dyDescent="0.25">
      <c r="A48" s="25"/>
      <c r="B48" s="12" t="str">
        <f>CONCATENATE("          ","6239"," - ","KITCHEN SUPPLIES")</f>
        <v xml:space="preserve">          6239 - KITCHEN SUPPLIES</v>
      </c>
      <c r="C48" s="12"/>
      <c r="D48" s="8">
        <v>225.98</v>
      </c>
      <c r="E48" s="3"/>
      <c r="F48" s="7">
        <f t="shared" si="0"/>
        <v>0</v>
      </c>
      <c r="G48" s="3"/>
      <c r="H48" s="8"/>
      <c r="I48" s="3"/>
      <c r="J48" s="7">
        <f t="shared" si="1"/>
        <v>0</v>
      </c>
      <c r="K48" s="3"/>
      <c r="L48" s="8">
        <f t="shared" si="2"/>
        <v>225.98</v>
      </c>
      <c r="M48" s="3"/>
      <c r="N48" s="7">
        <f t="shared" si="3"/>
        <v>0</v>
      </c>
      <c r="O48" s="12"/>
      <c r="P48" s="8">
        <v>225.98</v>
      </c>
      <c r="Q48" s="3"/>
      <c r="R48" s="7">
        <f t="shared" si="4"/>
        <v>0</v>
      </c>
      <c r="S48" s="3"/>
      <c r="T48" s="8"/>
      <c r="U48" s="3"/>
      <c r="V48" s="7">
        <f t="shared" si="5"/>
        <v>0</v>
      </c>
      <c r="W48" s="3"/>
      <c r="X48" s="8">
        <f t="shared" si="6"/>
        <v>225.98</v>
      </c>
      <c r="Y48" s="3"/>
      <c r="Z48" s="7">
        <f t="shared" si="7"/>
        <v>0</v>
      </c>
    </row>
    <row r="49" spans="1:26" s="70" customFormat="1" ht="15" hidden="1" customHeight="1" outlineLevel="2" x14ac:dyDescent="0.25">
      <c r="A49" s="25"/>
      <c r="B49" s="12" t="str">
        <f>CONCATENATE("          ","6241"," - ","OFFICE EXPENSE")</f>
        <v xml:space="preserve">          6241 - OFFICE EXPENSE</v>
      </c>
      <c r="C49" s="12"/>
      <c r="D49" s="8">
        <v>1833.82</v>
      </c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1833.82</v>
      </c>
      <c r="M49" s="3"/>
      <c r="N49" s="7">
        <f t="shared" si="3"/>
        <v>0</v>
      </c>
      <c r="O49" s="12"/>
      <c r="P49" s="8">
        <v>4205.34</v>
      </c>
      <c r="Q49" s="3"/>
      <c r="R49" s="7">
        <f t="shared" si="4"/>
        <v>0</v>
      </c>
      <c r="S49" s="3"/>
      <c r="T49" s="8"/>
      <c r="U49" s="3"/>
      <c r="V49" s="7">
        <f t="shared" si="5"/>
        <v>0</v>
      </c>
      <c r="W49" s="3"/>
      <c r="X49" s="8">
        <f t="shared" si="6"/>
        <v>4205.34</v>
      </c>
      <c r="Y49" s="3"/>
      <c r="Z49" s="7">
        <f t="shared" si="7"/>
        <v>0</v>
      </c>
    </row>
    <row r="50" spans="1:26" s="69" customFormat="1" ht="15" customHeight="1" outlineLevel="1" collapsed="1" x14ac:dyDescent="0.25">
      <c r="A50" s="26"/>
      <c r="B50" s="14" t="str">
        <f>CONCATENATE("     ","Telephone/Data Lines                              ")</f>
        <v xml:space="preserve">     Telephone/Data Lines                              </v>
      </c>
      <c r="C50" s="14"/>
      <c r="D50" s="2">
        <f>SUM(OSRRefD22_6x_0)</f>
        <v>75</v>
      </c>
      <c r="E50" s="2"/>
      <c r="F50" s="6">
        <f t="shared" si="0"/>
        <v>0</v>
      </c>
      <c r="G50" s="2"/>
      <c r="H50" s="2">
        <f>SUM(OSRRefH22_6x_0)</f>
        <v>83</v>
      </c>
      <c r="I50" s="2"/>
      <c r="J50" s="6">
        <f t="shared" si="1"/>
        <v>0</v>
      </c>
      <c r="K50" s="2"/>
      <c r="L50" s="2">
        <f t="shared" si="2"/>
        <v>-8</v>
      </c>
      <c r="M50" s="2"/>
      <c r="N50" s="6">
        <f t="shared" si="3"/>
        <v>-9.6385542168674704E-2</v>
      </c>
      <c r="O50" s="14"/>
      <c r="P50" s="2">
        <f>SUM(OSRRefP22_6x_0)</f>
        <v>883</v>
      </c>
      <c r="Q50" s="2"/>
      <c r="R50" s="6">
        <f t="shared" si="4"/>
        <v>0</v>
      </c>
      <c r="S50" s="2"/>
      <c r="T50" s="2">
        <f>SUM(OSRRefT22_6x_0)</f>
        <v>913</v>
      </c>
      <c r="U50" s="2"/>
      <c r="V50" s="6">
        <f t="shared" si="5"/>
        <v>0</v>
      </c>
      <c r="W50" s="2"/>
      <c r="X50" s="2">
        <f t="shared" si="6"/>
        <v>-30</v>
      </c>
      <c r="Y50" s="2"/>
      <c r="Z50" s="6">
        <f t="shared" si="7"/>
        <v>-3.2858707557502739E-2</v>
      </c>
    </row>
    <row r="51" spans="1:26" s="70" customFormat="1" ht="15" hidden="1" customHeight="1" outlineLevel="2" x14ac:dyDescent="0.25">
      <c r="A51" s="25"/>
      <c r="B51" s="12" t="str">
        <f>CONCATENATE("          ","6303"," - ","DATA PHONE LINES")</f>
        <v xml:space="preserve">          6303 - DATA PHONE LINES</v>
      </c>
      <c r="C51" s="12"/>
      <c r="D51" s="8"/>
      <c r="E51" s="3"/>
      <c r="F51" s="7">
        <f t="shared" si="0"/>
        <v>0</v>
      </c>
      <c r="G51" s="3"/>
      <c r="H51" s="8">
        <v>58</v>
      </c>
      <c r="I51" s="3"/>
      <c r="J51" s="7">
        <f t="shared" si="1"/>
        <v>0</v>
      </c>
      <c r="K51" s="3"/>
      <c r="L51" s="8">
        <f t="shared" si="2"/>
        <v>-58</v>
      </c>
      <c r="M51" s="3"/>
      <c r="N51" s="7">
        <f t="shared" si="3"/>
        <v>-1</v>
      </c>
      <c r="O51" s="12"/>
      <c r="P51" s="8"/>
      <c r="Q51" s="3"/>
      <c r="R51" s="7">
        <f t="shared" si="4"/>
        <v>0</v>
      </c>
      <c r="S51" s="3"/>
      <c r="T51" s="8">
        <v>638</v>
      </c>
      <c r="U51" s="3"/>
      <c r="V51" s="7">
        <f t="shared" si="5"/>
        <v>0</v>
      </c>
      <c r="W51" s="3"/>
      <c r="X51" s="8">
        <f t="shared" si="6"/>
        <v>-638</v>
      </c>
      <c r="Y51" s="3"/>
      <c r="Z51" s="7">
        <f t="shared" si="7"/>
        <v>-1</v>
      </c>
    </row>
    <row r="52" spans="1:26" s="70" customFormat="1" ht="15" hidden="1" customHeight="1" outlineLevel="2" x14ac:dyDescent="0.25">
      <c r="A52" s="25"/>
      <c r="B52" s="12" t="str">
        <f>CONCATENATE("          ","6309"," - ","TELEPHONE")</f>
        <v xml:space="preserve">          6309 - TELEPHONE</v>
      </c>
      <c r="C52" s="12"/>
      <c r="D52" s="8">
        <v>75</v>
      </c>
      <c r="E52" s="3"/>
      <c r="F52" s="7">
        <f t="shared" si="0"/>
        <v>0</v>
      </c>
      <c r="G52" s="3"/>
      <c r="H52" s="8">
        <v>25</v>
      </c>
      <c r="I52" s="3"/>
      <c r="J52" s="7">
        <f t="shared" si="1"/>
        <v>0</v>
      </c>
      <c r="K52" s="3"/>
      <c r="L52" s="8">
        <f t="shared" si="2"/>
        <v>50</v>
      </c>
      <c r="M52" s="3"/>
      <c r="N52" s="7">
        <f t="shared" si="3"/>
        <v>2</v>
      </c>
      <c r="O52" s="12"/>
      <c r="P52" s="8">
        <v>883</v>
      </c>
      <c r="Q52" s="3"/>
      <c r="R52" s="7">
        <f t="shared" si="4"/>
        <v>0</v>
      </c>
      <c r="S52" s="3"/>
      <c r="T52" s="8">
        <v>275</v>
      </c>
      <c r="U52" s="3"/>
      <c r="V52" s="7">
        <f t="shared" si="5"/>
        <v>0</v>
      </c>
      <c r="W52" s="3"/>
      <c r="X52" s="8">
        <f t="shared" si="6"/>
        <v>608</v>
      </c>
      <c r="Y52" s="3"/>
      <c r="Z52" s="7">
        <f t="shared" si="7"/>
        <v>2.2109090909090909</v>
      </c>
    </row>
    <row r="53" spans="1:26" s="69" customFormat="1" ht="15" customHeight="1" outlineLevel="1" collapsed="1" x14ac:dyDescent="0.25">
      <c r="A53" s="26"/>
      <c r="B53" s="14" t="str">
        <f>CONCATENATE("     ","Training                                          ")</f>
        <v xml:space="preserve">     Training                                          </v>
      </c>
      <c r="C53" s="14"/>
      <c r="D53" s="2">
        <f>SUM(OSRRefD22_7x_0)</f>
        <v>7427.59</v>
      </c>
      <c r="E53" s="2"/>
      <c r="F53" s="6">
        <f t="shared" si="0"/>
        <v>0</v>
      </c>
      <c r="G53" s="2"/>
      <c r="H53" s="2">
        <f>SUM(OSRRefH22_7x_0)</f>
        <v>300</v>
      </c>
      <c r="I53" s="2"/>
      <c r="J53" s="6">
        <f t="shared" si="1"/>
        <v>0</v>
      </c>
      <c r="K53" s="2"/>
      <c r="L53" s="2">
        <f t="shared" si="2"/>
        <v>7127.59</v>
      </c>
      <c r="M53" s="2"/>
      <c r="N53" s="6">
        <f t="shared" si="3"/>
        <v>23.758633333333332</v>
      </c>
      <c r="O53" s="14"/>
      <c r="P53" s="2">
        <f>SUM(OSRRefP22_7x_0)</f>
        <v>15041.56</v>
      </c>
      <c r="Q53" s="2"/>
      <c r="R53" s="6">
        <f t="shared" si="4"/>
        <v>0</v>
      </c>
      <c r="S53" s="2"/>
      <c r="T53" s="2">
        <f>SUM(OSRRefT22_7x_0)</f>
        <v>3300</v>
      </c>
      <c r="U53" s="2"/>
      <c r="V53" s="6">
        <f t="shared" si="5"/>
        <v>0</v>
      </c>
      <c r="W53" s="2"/>
      <c r="X53" s="2">
        <f t="shared" si="6"/>
        <v>11741.56</v>
      </c>
      <c r="Y53" s="2"/>
      <c r="Z53" s="6">
        <f t="shared" si="7"/>
        <v>3.5580484848484848</v>
      </c>
    </row>
    <row r="54" spans="1:26" s="70" customFormat="1" ht="15" hidden="1" customHeight="1" outlineLevel="2" x14ac:dyDescent="0.25">
      <c r="A54" s="25"/>
      <c r="B54" s="12" t="str">
        <f>CONCATENATE("          ","6376"," - ","TRAINING")</f>
        <v xml:space="preserve">          6376 - TRAINING</v>
      </c>
      <c r="C54" s="12"/>
      <c r="D54" s="8">
        <v>7427.59</v>
      </c>
      <c r="E54" s="3"/>
      <c r="F54" s="7">
        <f t="shared" si="0"/>
        <v>0</v>
      </c>
      <c r="G54" s="3"/>
      <c r="H54" s="8">
        <v>300</v>
      </c>
      <c r="I54" s="3"/>
      <c r="J54" s="7">
        <f t="shared" si="1"/>
        <v>0</v>
      </c>
      <c r="K54" s="3"/>
      <c r="L54" s="8">
        <f t="shared" si="2"/>
        <v>7127.59</v>
      </c>
      <c r="M54" s="3"/>
      <c r="N54" s="7">
        <f t="shared" si="3"/>
        <v>23.758633333333332</v>
      </c>
      <c r="O54" s="12"/>
      <c r="P54" s="8">
        <v>15041.56</v>
      </c>
      <c r="Q54" s="3"/>
      <c r="R54" s="7">
        <f t="shared" si="4"/>
        <v>0</v>
      </c>
      <c r="S54" s="3"/>
      <c r="T54" s="8">
        <v>3300</v>
      </c>
      <c r="U54" s="3"/>
      <c r="V54" s="7">
        <f t="shared" si="5"/>
        <v>0</v>
      </c>
      <c r="W54" s="3"/>
      <c r="X54" s="8">
        <f t="shared" si="6"/>
        <v>11741.56</v>
      </c>
      <c r="Y54" s="3"/>
      <c r="Z54" s="7">
        <f t="shared" si="7"/>
        <v>3.5580484848484848</v>
      </c>
    </row>
    <row r="55" spans="1:26" s="69" customFormat="1" ht="15" customHeight="1" outlineLevel="1" collapsed="1" x14ac:dyDescent="0.25">
      <c r="A55" s="26"/>
      <c r="B55" s="14" t="str">
        <f>CONCATENATE("     ","Travel                                            ")</f>
        <v xml:space="preserve">     Travel                                            </v>
      </c>
      <c r="C55" s="14"/>
      <c r="D55" s="2">
        <f>SUM(OSRRefD22_8x_0)</f>
        <v>15</v>
      </c>
      <c r="E55" s="2"/>
      <c r="F55" s="6">
        <f t="shared" si="0"/>
        <v>0</v>
      </c>
      <c r="G55" s="2"/>
      <c r="H55" s="2">
        <f>SUM(OSRRefH22_8x_0)</f>
        <v>0</v>
      </c>
      <c r="I55" s="2"/>
      <c r="J55" s="6">
        <f t="shared" si="1"/>
        <v>0</v>
      </c>
      <c r="K55" s="2"/>
      <c r="L55" s="2">
        <f t="shared" si="2"/>
        <v>15</v>
      </c>
      <c r="M55" s="2"/>
      <c r="N55" s="6">
        <f t="shared" si="3"/>
        <v>0</v>
      </c>
      <c r="O55" s="14"/>
      <c r="P55" s="2">
        <f>SUM(OSRRefP22_8x_0)</f>
        <v>610</v>
      </c>
      <c r="Q55" s="2"/>
      <c r="R55" s="6">
        <f t="shared" si="4"/>
        <v>0</v>
      </c>
      <c r="S55" s="2"/>
      <c r="T55" s="2">
        <f>SUM(OSRRefT22_8x_0)</f>
        <v>0</v>
      </c>
      <c r="U55" s="2"/>
      <c r="V55" s="6">
        <f t="shared" si="5"/>
        <v>0</v>
      </c>
      <c r="W55" s="2"/>
      <c r="X55" s="2">
        <f t="shared" si="6"/>
        <v>610</v>
      </c>
      <c r="Y55" s="2"/>
      <c r="Z55" s="6">
        <f t="shared" si="7"/>
        <v>0</v>
      </c>
    </row>
    <row r="56" spans="1:26" s="70" customFormat="1" ht="15" hidden="1" customHeight="1" outlineLevel="2" x14ac:dyDescent="0.25">
      <c r="A56" s="25"/>
      <c r="B56" s="12" t="str">
        <f>CONCATENATE("          ","6292"," - ","TRAVEL/CONFERENCE")</f>
        <v xml:space="preserve">          6292 - TRAVEL/CONFERENCE</v>
      </c>
      <c r="C56" s="12"/>
      <c r="D56" s="8">
        <v>15</v>
      </c>
      <c r="E56" s="3"/>
      <c r="F56" s="7">
        <f t="shared" si="0"/>
        <v>0</v>
      </c>
      <c r="G56" s="3"/>
      <c r="H56" s="8"/>
      <c r="I56" s="3"/>
      <c r="J56" s="7">
        <f t="shared" si="1"/>
        <v>0</v>
      </c>
      <c r="K56" s="3"/>
      <c r="L56" s="8">
        <f t="shared" si="2"/>
        <v>15</v>
      </c>
      <c r="M56" s="3"/>
      <c r="N56" s="7">
        <f t="shared" si="3"/>
        <v>0</v>
      </c>
      <c r="O56" s="12"/>
      <c r="P56" s="8">
        <v>610</v>
      </c>
      <c r="Q56" s="3"/>
      <c r="R56" s="7">
        <f t="shared" si="4"/>
        <v>0</v>
      </c>
      <c r="S56" s="3"/>
      <c r="T56" s="8"/>
      <c r="U56" s="3"/>
      <c r="V56" s="7">
        <f t="shared" si="5"/>
        <v>0</v>
      </c>
      <c r="W56" s="3"/>
      <c r="X56" s="8">
        <f t="shared" si="6"/>
        <v>610</v>
      </c>
      <c r="Y56" s="3"/>
      <c r="Z56" s="7">
        <f t="shared" si="7"/>
        <v>0</v>
      </c>
    </row>
    <row r="57" spans="1:26" s="65" customFormat="1" ht="15" customHeight="1" x14ac:dyDescent="0.25">
      <c r="A57" s="35"/>
      <c r="B57" s="35"/>
      <c r="C57" s="35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25">
      <c r="A58" s="11"/>
      <c r="B58" s="27" t="s">
        <v>291</v>
      </c>
      <c r="C58" s="11"/>
      <c r="D58" s="5">
        <f>SUM(0)</f>
        <v>0</v>
      </c>
      <c r="E58" s="5"/>
      <c r="F58" s="13">
        <f>IF(D$12=0,0,D58/D$12)</f>
        <v>0</v>
      </c>
      <c r="G58" s="5"/>
      <c r="H58" s="5">
        <f>SUM(0)</f>
        <v>0</v>
      </c>
      <c r="I58" s="5"/>
      <c r="J58" s="13">
        <f>IF(H$12=0,0,H58/H$12)</f>
        <v>0</v>
      </c>
      <c r="K58" s="5"/>
      <c r="L58" s="5">
        <f>+D58-H58</f>
        <v>0</v>
      </c>
      <c r="M58" s="5"/>
      <c r="N58" s="13">
        <f>IF(H58=0,0,L58/H58)</f>
        <v>0</v>
      </c>
      <c r="O58" s="11"/>
      <c r="P58" s="5">
        <f>SUM(0)</f>
        <v>0</v>
      </c>
      <c r="Q58" s="5"/>
      <c r="R58" s="13">
        <f>IF(P$12=0,0,P58/P$12)</f>
        <v>0</v>
      </c>
      <c r="S58" s="5"/>
      <c r="T58" s="5">
        <f>SUM(0)</f>
        <v>0</v>
      </c>
      <c r="U58" s="5"/>
      <c r="V58" s="13">
        <f>IF(T$12=0,0,T58/T$12)</f>
        <v>0</v>
      </c>
      <c r="W58" s="5"/>
      <c r="X58" s="5">
        <f>+P58-T58</f>
        <v>0</v>
      </c>
      <c r="Y58" s="5"/>
      <c r="Z58" s="13">
        <f>IF(T58=0,0,X58/T58)</f>
        <v>0</v>
      </c>
    </row>
    <row r="59" spans="1:26" ht="15" customHeight="1" x14ac:dyDescent="0.25">
      <c r="A59" s="10"/>
      <c r="B59" s="11"/>
      <c r="C59" s="11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O59" s="11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25">
      <c r="A60" s="11"/>
      <c r="B60" s="28" t="s">
        <v>292</v>
      </c>
      <c r="C60" s="28"/>
      <c r="D60" s="22">
        <f>+D16-D18+D58</f>
        <v>-28291.51</v>
      </c>
      <c r="E60" s="15"/>
      <c r="F60" s="21">
        <f>IF(D$12=0,0,D60/D$12)</f>
        <v>0</v>
      </c>
      <c r="G60" s="15"/>
      <c r="H60" s="22">
        <f>+H16-H18+H58</f>
        <v>-17497.431652200001</v>
      </c>
      <c r="I60" s="15"/>
      <c r="J60" s="21">
        <f>IF(H$12=0,0,H60/H$12)</f>
        <v>0</v>
      </c>
      <c r="K60" s="16"/>
      <c r="L60" s="22">
        <f>+D60-H60</f>
        <v>-10794.078347799998</v>
      </c>
      <c r="M60" s="16"/>
      <c r="N60" s="21">
        <f>IF(H60=0,0,L60/H60)</f>
        <v>0.61689501421443349</v>
      </c>
      <c r="O60" s="27"/>
      <c r="P60" s="22">
        <f>+P16-P18+P58</f>
        <v>-230580.63</v>
      </c>
      <c r="Q60" s="15"/>
      <c r="R60" s="21">
        <f>IF(P$12=0,0,P60/P$12)</f>
        <v>0</v>
      </c>
      <c r="S60" s="15"/>
      <c r="T60" s="22">
        <f>+T16-T18+T58</f>
        <v>-201466.58839709999</v>
      </c>
      <c r="U60" s="15"/>
      <c r="V60" s="21">
        <f>IF(T$12=0,0,T60/T$12)</f>
        <v>0</v>
      </c>
      <c r="W60" s="16"/>
      <c r="X60" s="22">
        <f>+P60-T60</f>
        <v>-29114.041602900019</v>
      </c>
      <c r="Y60" s="16"/>
      <c r="Z60" s="21">
        <f>IF(T60=0,0,X60/T60)</f>
        <v>0.14451052074954926</v>
      </c>
    </row>
    <row r="61" spans="1:26" ht="15" customHeight="1" x14ac:dyDescent="0.25">
      <c r="A61" s="10"/>
      <c r="B61" s="11"/>
      <c r="C61" s="10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3" customFormat="1" ht="15" customHeight="1" x14ac:dyDescent="0.25">
      <c r="A62" s="49"/>
      <c r="B62" s="11" t="s">
        <v>293</v>
      </c>
      <c r="C62" s="11"/>
      <c r="D62" s="5"/>
      <c r="E62" s="5"/>
      <c r="F62" s="13">
        <f>IF(D$12=0,0,D62/D$12)</f>
        <v>0</v>
      </c>
      <c r="G62" s="5"/>
      <c r="H62" s="5"/>
      <c r="I62" s="5"/>
      <c r="J62" s="13">
        <f>IF(H$12=0,0,H62/H$12)</f>
        <v>0</v>
      </c>
      <c r="K62" s="5"/>
      <c r="L62" s="5">
        <f>+D62-H62</f>
        <v>0</v>
      </c>
      <c r="M62" s="5"/>
      <c r="N62" s="13">
        <f>IF(H62=0,0,L62/H62)</f>
        <v>0</v>
      </c>
      <c r="O62" s="11"/>
      <c r="P62" s="5"/>
      <c r="Q62" s="5"/>
      <c r="R62" s="13">
        <f>IF(P$12=0,0,P62/P$12)</f>
        <v>0</v>
      </c>
      <c r="S62" s="5"/>
      <c r="T62" s="5"/>
      <c r="U62" s="5"/>
      <c r="V62" s="13">
        <f>IF(T$12=0,0,T62/T$12)</f>
        <v>0</v>
      </c>
      <c r="W62" s="5"/>
      <c r="X62" s="5">
        <f>+P62-T62</f>
        <v>0</v>
      </c>
      <c r="Y62" s="5"/>
      <c r="Z62" s="13">
        <f>IF(T62=0,0,X62/T62)</f>
        <v>0</v>
      </c>
    </row>
    <row r="63" spans="1:26" ht="15" customHeight="1" x14ac:dyDescent="0.25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25">
      <c r="A64" s="11"/>
      <c r="B64" s="28" t="s">
        <v>294</v>
      </c>
      <c r="C64" s="28"/>
      <c r="D64" s="34">
        <f>+D60-D62</f>
        <v>-28291.51</v>
      </c>
      <c r="E64" s="15"/>
      <c r="F64" s="32">
        <f>IF(D$12=0,0,D64/D$12)</f>
        <v>0</v>
      </c>
      <c r="G64" s="15"/>
      <c r="H64" s="34">
        <f>+H60-H62</f>
        <v>-17497.431652200001</v>
      </c>
      <c r="I64" s="15"/>
      <c r="J64" s="32">
        <f>IF(H$12=0,0,H64/H$12)</f>
        <v>0</v>
      </c>
      <c r="K64" s="16"/>
      <c r="L64" s="34">
        <f>D64-H64</f>
        <v>-10794.078347799998</v>
      </c>
      <c r="M64" s="16"/>
      <c r="N64" s="32">
        <f>IF(H64=0,0,L64/H64)</f>
        <v>0.61689501421443349</v>
      </c>
      <c r="O64" s="27"/>
      <c r="P64" s="34">
        <f>+P60-P62</f>
        <v>-230580.63</v>
      </c>
      <c r="Q64" s="15"/>
      <c r="R64" s="32">
        <f>IF(P$12=0,0,P64/P$12)</f>
        <v>0</v>
      </c>
      <c r="S64" s="15"/>
      <c r="T64" s="34">
        <f>+T60-T62</f>
        <v>-201466.58839709999</v>
      </c>
      <c r="U64" s="15"/>
      <c r="V64" s="32">
        <f>IF(T$12=0,0,T64/T$12)</f>
        <v>0</v>
      </c>
      <c r="W64" s="16"/>
      <c r="X64" s="34">
        <f>P64-T64</f>
        <v>-29114.041602900019</v>
      </c>
      <c r="Y64" s="16"/>
      <c r="Z64" s="32">
        <f>IF(T64=0,0,X64/T64)</f>
        <v>0.14451052074954926</v>
      </c>
    </row>
    <row r="65" spans="1:26" ht="15" customHeight="1" x14ac:dyDescent="0.25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ht="15" customHeight="1" x14ac:dyDescent="0.25">
      <c r="A66" s="10"/>
      <c r="B66" s="10"/>
      <c r="C66" s="10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3" customFormat="1" ht="15" customHeight="1" x14ac:dyDescent="0.25">
      <c r="A67" s="11"/>
      <c r="B67" s="28" t="s">
        <v>297</v>
      </c>
      <c r="C67" s="28"/>
      <c r="D67" s="30">
        <f>SUM(D64:D66)</f>
        <v>-28291.51</v>
      </c>
      <c r="E67" s="15"/>
      <c r="F67" s="33">
        <f>IF(D$12=0,0,D67/D$12)</f>
        <v>0</v>
      </c>
      <c r="G67" s="15"/>
      <c r="H67" s="30">
        <f>SUM(H64:H66)</f>
        <v>-17497.431652200001</v>
      </c>
      <c r="I67" s="15"/>
      <c r="J67" s="33">
        <f>IF(H$12=0,0,H67/H$12)</f>
        <v>0</v>
      </c>
      <c r="K67" s="16"/>
      <c r="L67" s="30">
        <f>+D67-H67</f>
        <v>-10794.078347799998</v>
      </c>
      <c r="M67" s="16"/>
      <c r="N67" s="33">
        <f>IF(H67=0,0,L67/H67)</f>
        <v>0.61689501421443349</v>
      </c>
      <c r="O67" s="27"/>
      <c r="P67" s="30">
        <f>SUM(P64:P66)</f>
        <v>-230580.63</v>
      </c>
      <c r="Q67" s="15"/>
      <c r="R67" s="33">
        <f>IF(P$12=0,0,P67/P$12)</f>
        <v>0</v>
      </c>
      <c r="S67" s="15"/>
      <c r="T67" s="30">
        <f>SUM(T64:T66)</f>
        <v>-201466.58839709999</v>
      </c>
      <c r="U67" s="15"/>
      <c r="V67" s="33">
        <f>IF(T$12=0,0,T67/T$12)</f>
        <v>0</v>
      </c>
      <c r="W67" s="16"/>
      <c r="X67" s="30">
        <f>+P67-T67</f>
        <v>-29114.041602900019</v>
      </c>
      <c r="Y67" s="16"/>
      <c r="Z67" s="33">
        <f>IF(T67=0,0,X67/T67)</f>
        <v>0.14451052074954926</v>
      </c>
    </row>
    <row r="68" spans="1:26" ht="15" customHeight="1" x14ac:dyDescent="0.25">
      <c r="A68" s="10"/>
      <c r="C68" s="10"/>
      <c r="D68" s="18"/>
      <c r="E68" s="18"/>
      <c r="G68" s="18"/>
      <c r="H68" s="18"/>
      <c r="I68" s="18"/>
      <c r="J68" s="40"/>
      <c r="K68" s="18"/>
      <c r="L68" s="18"/>
      <c r="M68" s="18"/>
      <c r="P68" s="18"/>
      <c r="Q68" s="18"/>
      <c r="R68" s="40"/>
      <c r="S68" s="18"/>
      <c r="T68" s="18"/>
      <c r="U68" s="18"/>
      <c r="V68" s="40"/>
      <c r="W68" s="18"/>
      <c r="X68" s="18"/>
    </row>
    <row r="69" spans="1:26" ht="15" customHeight="1" x14ac:dyDescent="0.25">
      <c r="A69" s="10"/>
      <c r="B69" s="54">
        <v>44727.874527581022</v>
      </c>
      <c r="D69" s="18"/>
      <c r="E69" s="18"/>
      <c r="G69" s="18"/>
      <c r="H69" s="18"/>
      <c r="I69" s="18"/>
      <c r="J69" s="40"/>
      <c r="K69" s="18"/>
      <c r="L69" s="18"/>
      <c r="M69" s="18"/>
      <c r="P69" s="18"/>
      <c r="Q69" s="18"/>
      <c r="R69" s="40"/>
      <c r="S69" s="18"/>
      <c r="T69" s="18"/>
      <c r="U69" s="18"/>
      <c r="V69" s="40"/>
      <c r="W69" s="18"/>
      <c r="X69" s="18"/>
    </row>
    <row r="70" spans="1:26" ht="15" customHeight="1" x14ac:dyDescent="0.25">
      <c r="A70" s="10"/>
      <c r="B70" s="50" t="s">
        <v>298</v>
      </c>
      <c r="D70" s="18"/>
      <c r="E70" s="18"/>
      <c r="G70" s="18"/>
      <c r="H70" s="18"/>
      <c r="I70" s="18"/>
      <c r="J70" s="40"/>
      <c r="K70" s="18"/>
      <c r="L70" s="18"/>
      <c r="M70" s="18"/>
      <c r="P70" s="18"/>
      <c r="Q70" s="18"/>
      <c r="R70" s="40"/>
      <c r="S70" s="18"/>
      <c r="T70" s="18"/>
      <c r="U70" s="18"/>
      <c r="V70" s="40"/>
      <c r="W70" s="18"/>
      <c r="X70" s="18"/>
    </row>
    <row r="71" spans="1:26" ht="15" customHeight="1" x14ac:dyDescent="0.25">
      <c r="A71" s="10"/>
      <c r="B71" s="58"/>
      <c r="D71" s="18"/>
      <c r="E71" s="18"/>
      <c r="G71" s="18"/>
      <c r="H71" s="18"/>
      <c r="I71" s="18"/>
      <c r="J71" s="40"/>
      <c r="K71" s="18"/>
      <c r="L71" s="18"/>
      <c r="M71" s="18"/>
      <c r="P71" s="18"/>
      <c r="Q71" s="18"/>
      <c r="R71" s="40"/>
      <c r="S71" s="18"/>
      <c r="T71" s="18"/>
      <c r="U71" s="18"/>
      <c r="V71" s="40"/>
      <c r="W71" s="18"/>
      <c r="X71" s="18"/>
    </row>
    <row r="72" spans="1:26" ht="15" customHeight="1" x14ac:dyDescent="0.25">
      <c r="D72" s="18"/>
      <c r="E72" s="18"/>
      <c r="G72" s="18"/>
      <c r="H72" s="18"/>
      <c r="I72" s="18"/>
      <c r="J72" s="40"/>
      <c r="K72" s="18"/>
      <c r="L72" s="18"/>
      <c r="M72" s="18"/>
      <c r="P72" s="18"/>
      <c r="Q72" s="18"/>
      <c r="R72" s="40"/>
      <c r="S72" s="18"/>
      <c r="T72" s="18"/>
      <c r="U72" s="18"/>
      <c r="V72" s="40"/>
      <c r="W72" s="18"/>
      <c r="X72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A051D-56A1-8F59-F6E2-E5E7A5B39CDF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","433"," - ","Hillside Dining Hall")</f>
        <v>Department 433 - Hillside Dining Hall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221015.49</v>
      </c>
      <c r="E12" s="5"/>
      <c r="F12" s="13"/>
      <c r="G12" s="5"/>
      <c r="H12" s="5">
        <f>SUM(OSRRefH13x_0)</f>
        <v>243000</v>
      </c>
      <c r="I12" s="5"/>
      <c r="J12" s="13"/>
      <c r="K12" s="5"/>
      <c r="L12" s="5">
        <f>+D12-H12</f>
        <v>-21984.510000000009</v>
      </c>
      <c r="M12" s="5"/>
      <c r="N12" s="13">
        <f>IF(H12=0,0,L12/H12)</f>
        <v>-9.0471234567901279E-2</v>
      </c>
      <c r="O12" s="11"/>
      <c r="P12" s="5">
        <f>SUM(OSRRefP13x_0)</f>
        <v>3925238.55</v>
      </c>
      <c r="Q12" s="5"/>
      <c r="R12" s="13"/>
      <c r="S12" s="5"/>
      <c r="T12" s="5">
        <f>SUM(OSRRefT13x_0)</f>
        <v>3564000</v>
      </c>
      <c r="U12" s="5"/>
      <c r="V12" s="13"/>
      <c r="W12" s="5"/>
      <c r="X12" s="5">
        <f>+P12-T12</f>
        <v>361238.54999999981</v>
      </c>
      <c r="Y12" s="5"/>
      <c r="Z12" s="13">
        <f>IF(T12=0,0,X12/T12)</f>
        <v>0.10135761784511779</v>
      </c>
    </row>
    <row r="13" spans="1:26" s="70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--135.02</f>
        <v>135.02000000000001</v>
      </c>
      <c r="E13" s="3"/>
      <c r="F13" s="20"/>
      <c r="G13" s="3"/>
      <c r="H13" s="3"/>
      <c r="I13" s="3"/>
      <c r="J13" s="20"/>
      <c r="K13" s="3"/>
      <c r="L13" s="3">
        <f>+D13-H13</f>
        <v>135.02000000000001</v>
      </c>
      <c r="M13" s="3"/>
      <c r="N13" s="20">
        <f>IF(H13=0,0,L13/H13)</f>
        <v>0</v>
      </c>
      <c r="O13" s="12"/>
      <c r="P13" s="3">
        <f>--2977.75</f>
        <v>2977.75</v>
      </c>
      <c r="Q13" s="3"/>
      <c r="R13" s="20"/>
      <c r="S13" s="3"/>
      <c r="T13" s="3"/>
      <c r="U13" s="3"/>
      <c r="V13" s="20"/>
      <c r="W13" s="3"/>
      <c r="X13" s="3">
        <f>+P13-T13</f>
        <v>2977.75</v>
      </c>
      <c r="Y13" s="3"/>
      <c r="Z13" s="20">
        <f>IF(T13=0,0,X13/T13)</f>
        <v>0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243000</v>
      </c>
      <c r="I14" s="3"/>
      <c r="J14" s="20"/>
      <c r="K14" s="3"/>
      <c r="L14" s="3">
        <f>+D14-H14</f>
        <v>-243000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3564000</v>
      </c>
      <c r="U14" s="3"/>
      <c r="V14" s="20"/>
      <c r="W14" s="3"/>
      <c r="X14" s="3">
        <f>+P14-T14</f>
        <v>-3564000</v>
      </c>
      <c r="Y14" s="3"/>
      <c r="Z14" s="20">
        <f>IF(T14=0,0,X14/T14)</f>
        <v>-1</v>
      </c>
    </row>
    <row r="15" spans="1:26" s="70" customFormat="1" ht="15" hidden="1" customHeight="1" outlineLevel="1" x14ac:dyDescent="0.25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--217974.19</f>
        <v>217974.19</v>
      </c>
      <c r="E15" s="3"/>
      <c r="F15" s="20"/>
      <c r="G15" s="3"/>
      <c r="H15" s="3"/>
      <c r="I15" s="3"/>
      <c r="J15" s="20"/>
      <c r="K15" s="3"/>
      <c r="L15" s="3">
        <f>+D15-H15</f>
        <v>217974.19</v>
      </c>
      <c r="M15" s="3"/>
      <c r="N15" s="20">
        <f>IF(H15=0,0,L15/H15)</f>
        <v>0</v>
      </c>
      <c r="O15" s="12"/>
      <c r="P15" s="3">
        <f>--3842103.01</f>
        <v>3842103.01</v>
      </c>
      <c r="Q15" s="3"/>
      <c r="R15" s="20"/>
      <c r="S15" s="3"/>
      <c r="T15" s="3"/>
      <c r="U15" s="3"/>
      <c r="V15" s="20"/>
      <c r="W15" s="3"/>
      <c r="X15" s="3">
        <f>+P15-T15</f>
        <v>3842103.01</v>
      </c>
      <c r="Y15" s="3"/>
      <c r="Z15" s="20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--2906.28</f>
        <v>2906.28</v>
      </c>
      <c r="E16" s="3"/>
      <c r="F16" s="20"/>
      <c r="G16" s="3"/>
      <c r="H16" s="3"/>
      <c r="I16" s="3"/>
      <c r="J16" s="20"/>
      <c r="K16" s="3"/>
      <c r="L16" s="3">
        <f>+D16-H16</f>
        <v>2906.28</v>
      </c>
      <c r="M16" s="3"/>
      <c r="N16" s="20">
        <f>IF(H16=0,0,L16/H16)</f>
        <v>0</v>
      </c>
      <c r="O16" s="12"/>
      <c r="P16" s="3">
        <f>--80157.79</f>
        <v>80157.789999999994</v>
      </c>
      <c r="Q16" s="3"/>
      <c r="R16" s="20"/>
      <c r="S16" s="3"/>
      <c r="T16" s="3"/>
      <c r="U16" s="3"/>
      <c r="V16" s="20"/>
      <c r="W16" s="3"/>
      <c r="X16" s="3">
        <f>+P16-T16</f>
        <v>80157.789999999994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68430.42</v>
      </c>
      <c r="E18" s="5"/>
      <c r="F18" s="13">
        <f>IF(D$12=0,0,D18/D$12)</f>
        <v>0.30961820820794056</v>
      </c>
      <c r="G18" s="5"/>
      <c r="H18" s="5">
        <f>SUM(OSRRefH16x_0)</f>
        <v>69255</v>
      </c>
      <c r="I18" s="5"/>
      <c r="J18" s="13">
        <f>IF(H$12=0,0,H18/H$12)</f>
        <v>0.28499999999999998</v>
      </c>
      <c r="K18" s="5"/>
      <c r="L18" s="5">
        <f>+D18-H18</f>
        <v>-824.58000000000175</v>
      </c>
      <c r="M18" s="5"/>
      <c r="N18" s="13">
        <f>IF(H18=0,0,L18/H18)</f>
        <v>-1.1906432748538037E-2</v>
      </c>
      <c r="O18" s="11"/>
      <c r="P18" s="5">
        <f>SUM(OSRRefP16x_0)</f>
        <v>980511.71</v>
      </c>
      <c r="Q18" s="5"/>
      <c r="R18" s="13">
        <f>IF(P$12=0,0,P18/P$12)</f>
        <v>0.24979671872426709</v>
      </c>
      <c r="S18" s="5"/>
      <c r="T18" s="5">
        <f>SUM(OSRRefT16x_0)</f>
        <v>998973</v>
      </c>
      <c r="U18" s="5"/>
      <c r="V18" s="13">
        <f>IF(T$12=0,0,T18/T$12)</f>
        <v>0.28029545454545457</v>
      </c>
      <c r="W18" s="5"/>
      <c r="X18" s="5">
        <f>+P18-T18</f>
        <v>-18461.290000000037</v>
      </c>
      <c r="Y18" s="5"/>
      <c r="Z18" s="13">
        <f>IF(T18=0,0,X18/T18)</f>
        <v>-1.848026923650593E-2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69255</v>
      </c>
      <c r="I19" s="3"/>
      <c r="J19" s="20">
        <f>IF(H$12=0,0,H19/H$12)</f>
        <v>0.28499999999999998</v>
      </c>
      <c r="K19" s="3"/>
      <c r="L19" s="3">
        <f>+D19-H19</f>
        <v>-69255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998973</v>
      </c>
      <c r="U19" s="3"/>
      <c r="V19" s="20">
        <f>IF(T$12=0,0,T19/T$12)</f>
        <v>0.28029545454545457</v>
      </c>
      <c r="W19" s="3"/>
      <c r="X19" s="3">
        <f>+P19-T19</f>
        <v>-998973</v>
      </c>
      <c r="Y19" s="3"/>
      <c r="Z19" s="20">
        <f>IF(T19=0,0,X19/T19)</f>
        <v>-1</v>
      </c>
    </row>
    <row r="20" spans="1:26" s="70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69439.22</v>
      </c>
      <c r="E20" s="3"/>
      <c r="F20" s="20">
        <f>IF(D$12=0,0,D20/D$12)</f>
        <v>0.31418259417020955</v>
      </c>
      <c r="G20" s="3"/>
      <c r="H20" s="3"/>
      <c r="I20" s="3"/>
      <c r="J20" s="20">
        <f>IF(H$12=0,0,H20/H$12)</f>
        <v>0</v>
      </c>
      <c r="K20" s="3"/>
      <c r="L20" s="3">
        <f>+D20-H20</f>
        <v>69439.22</v>
      </c>
      <c r="M20" s="3"/>
      <c r="N20" s="20">
        <f>IF(H20=0,0,L20/H20)</f>
        <v>0</v>
      </c>
      <c r="O20" s="12"/>
      <c r="P20" s="3">
        <v>1001838.51</v>
      </c>
      <c r="Q20" s="3"/>
      <c r="R20" s="20">
        <f>IF(P$12=0,0,P20/P$12)</f>
        <v>0.255229968125122</v>
      </c>
      <c r="S20" s="3"/>
      <c r="T20" s="3"/>
      <c r="U20" s="3"/>
      <c r="V20" s="20">
        <f>IF(T$12=0,0,T20/T$12)</f>
        <v>0</v>
      </c>
      <c r="W20" s="3"/>
      <c r="X20" s="3">
        <f>+P20-T20</f>
        <v>1001838.51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-1008.8</v>
      </c>
      <c r="E21" s="3"/>
      <c r="F21" s="20">
        <f>IF(D$12=0,0,D21/D$12)</f>
        <v>-4.5643859622689796E-3</v>
      </c>
      <c r="G21" s="3"/>
      <c r="H21" s="3"/>
      <c r="I21" s="3"/>
      <c r="J21" s="20">
        <f>IF(H$12=0,0,H21/H$12)</f>
        <v>0</v>
      </c>
      <c r="K21" s="3"/>
      <c r="L21" s="3">
        <f>+D21-H21</f>
        <v>-1008.8</v>
      </c>
      <c r="M21" s="3"/>
      <c r="N21" s="20">
        <f>IF(H21=0,0,L21/H21)</f>
        <v>0</v>
      </c>
      <c r="O21" s="12"/>
      <c r="P21" s="3">
        <v>-21326.799999999999</v>
      </c>
      <c r="Q21" s="3"/>
      <c r="R21" s="20">
        <f>IF(P$12=0,0,P21/P$12)</f>
        <v>-5.433249400854886E-3</v>
      </c>
      <c r="S21" s="3"/>
      <c r="T21" s="3"/>
      <c r="U21" s="3"/>
      <c r="V21" s="20">
        <f>IF(T$12=0,0,T21/T$12)</f>
        <v>0</v>
      </c>
      <c r="W21" s="3"/>
      <c r="X21" s="3">
        <f>+P21-T21</f>
        <v>-21326.799999999999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D12-D18</f>
        <v>152585.07</v>
      </c>
      <c r="E23" s="15"/>
      <c r="F23" s="21">
        <f>IF(D$12=0,0,D23/D$12)</f>
        <v>0.6903817917920595</v>
      </c>
      <c r="G23" s="15"/>
      <c r="H23" s="22">
        <f>H12-H18</f>
        <v>173745</v>
      </c>
      <c r="I23" s="15"/>
      <c r="J23" s="21">
        <f>IF(H$12=0,0,H23/H$12)</f>
        <v>0.71499999999999997</v>
      </c>
      <c r="K23" s="16"/>
      <c r="L23" s="22">
        <f>+D23-H23</f>
        <v>-21159.929999999993</v>
      </c>
      <c r="M23" s="16"/>
      <c r="N23" s="21">
        <f>IF(H23=0,0,L23/H23)</f>
        <v>-0.12178727445394108</v>
      </c>
      <c r="O23" s="27"/>
      <c r="P23" s="22">
        <f>P12-P18</f>
        <v>2944726.84</v>
      </c>
      <c r="Q23" s="15"/>
      <c r="R23" s="21">
        <f>IF(P$12=0,0,P23/P$12)</f>
        <v>0.75020328127573288</v>
      </c>
      <c r="S23" s="15"/>
      <c r="T23" s="22">
        <f>T12-T18</f>
        <v>2565027</v>
      </c>
      <c r="U23" s="15"/>
      <c r="V23" s="21">
        <f>IF(T$12=0,0,T23/T$12)</f>
        <v>0.71970454545454543</v>
      </c>
      <c r="W23" s="16"/>
      <c r="X23" s="22">
        <f>+P23-T23</f>
        <v>379699.83999999985</v>
      </c>
      <c r="Y23" s="16"/>
      <c r="Z23" s="21">
        <f>IF(T23=0,0,X23/T23)</f>
        <v>0.14802956849966875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111146.09</v>
      </c>
      <c r="E25" s="23"/>
      <c r="F25" s="31">
        <f t="shared" ref="F25:F56" si="0">IF(D$12=0,0,D25/D$12)</f>
        <v>0.50288823647609493</v>
      </c>
      <c r="G25" s="23"/>
      <c r="H25" s="23" cm="1">
        <f t="array" ref="H25">SUM(OSRRefH22x_0)</f>
        <v>143958.41589692302</v>
      </c>
      <c r="I25" s="23"/>
      <c r="J25" s="31">
        <f t="shared" ref="J25:J56" si="1">IF(H$12=0,0,H25/H$12)</f>
        <v>0.592421464596391</v>
      </c>
      <c r="K25" s="5"/>
      <c r="L25" s="23">
        <f t="shared" ref="L25:L56" si="2">+D25-H25</f>
        <v>-32812.325896923023</v>
      </c>
      <c r="M25" s="5"/>
      <c r="N25" s="31">
        <f t="shared" ref="N25:N56" si="3">IF(H25=0,0,L25/H25)</f>
        <v>-0.22792919533386138</v>
      </c>
      <c r="O25" s="11"/>
      <c r="P25" s="23" cm="1">
        <f t="array" ref="P25">SUM(OSRRefP22x_0)</f>
        <v>1565810.77</v>
      </c>
      <c r="Q25" s="23"/>
      <c r="R25" s="31">
        <f t="shared" ref="R25:R56" si="4">IF(P$12=0,0,P25/P$12)</f>
        <v>0.3989084357688274</v>
      </c>
      <c r="S25" s="23"/>
      <c r="T25" s="23" cm="1">
        <f t="array" ref="T25">SUM(OSRRefT22x_0)</f>
        <v>1820586.5417630763</v>
      </c>
      <c r="U25" s="23"/>
      <c r="V25" s="31">
        <f t="shared" ref="V25:V56" si="5">IF(T$12=0,0,T25/T$12)</f>
        <v>0.51082675133644118</v>
      </c>
      <c r="W25" s="5"/>
      <c r="X25" s="23">
        <f t="shared" ref="X25:X56" si="6">+P25-T25</f>
        <v>-254775.77176307631</v>
      </c>
      <c r="Y25" s="5"/>
      <c r="Z25" s="31">
        <f t="shared" ref="Z25:Z56" si="7">IF(T25=0,0,X25/T25)</f>
        <v>-0.13994158800951512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24941.619999999995</v>
      </c>
      <c r="E26" s="2"/>
      <c r="F26" s="6">
        <f t="shared" si="0"/>
        <v>0.11285009933014195</v>
      </c>
      <c r="G26" s="2"/>
      <c r="H26" s="2">
        <f>SUM(OSRRefH22_0x_0)</f>
        <v>31913.994358461525</v>
      </c>
      <c r="I26" s="2"/>
      <c r="J26" s="6">
        <f t="shared" si="1"/>
        <v>0.13133331011712562</v>
      </c>
      <c r="K26" s="2"/>
      <c r="L26" s="2">
        <f t="shared" si="2"/>
        <v>-6972.3743584615295</v>
      </c>
      <c r="M26" s="2"/>
      <c r="N26" s="6">
        <f t="shared" si="3"/>
        <v>-0.21847388578650004</v>
      </c>
      <c r="O26" s="14"/>
      <c r="P26" s="2">
        <f>SUM(OSRRefP22_0x_0)</f>
        <v>290872.5</v>
      </c>
      <c r="Q26" s="2"/>
      <c r="R26" s="6">
        <f t="shared" si="4"/>
        <v>7.4103139540398127E-2</v>
      </c>
      <c r="S26" s="2"/>
      <c r="T26" s="2">
        <f>SUM(OSRRefT22_0x_0)</f>
        <v>389329.48330153828</v>
      </c>
      <c r="U26" s="2"/>
      <c r="V26" s="6">
        <f t="shared" si="5"/>
        <v>0.10923947342916338</v>
      </c>
      <c r="W26" s="2"/>
      <c r="X26" s="2">
        <f t="shared" si="6"/>
        <v>-98456.983301538276</v>
      </c>
      <c r="Y26" s="2"/>
      <c r="Z26" s="6">
        <f t="shared" si="7"/>
        <v>-0.25288858800678776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3171.37</v>
      </c>
      <c r="E27" s="3"/>
      <c r="F27" s="7">
        <f t="shared" si="0"/>
        <v>1.4349084763244422E-2</v>
      </c>
      <c r="G27" s="3"/>
      <c r="H27" s="8">
        <v>3995.5842046153798</v>
      </c>
      <c r="I27" s="3"/>
      <c r="J27" s="7">
        <f t="shared" si="1"/>
        <v>1.6442733352326665E-2</v>
      </c>
      <c r="K27" s="3"/>
      <c r="L27" s="8">
        <f t="shared" si="2"/>
        <v>-824.21420461537991</v>
      </c>
      <c r="M27" s="3"/>
      <c r="N27" s="7">
        <f t="shared" si="3"/>
        <v>-0.20628127512950759</v>
      </c>
      <c r="O27" s="12"/>
      <c r="P27" s="8">
        <v>38547.120000000003</v>
      </c>
      <c r="Q27" s="3"/>
      <c r="R27" s="7">
        <f t="shared" si="4"/>
        <v>9.8203254423861724E-3</v>
      </c>
      <c r="S27" s="3"/>
      <c r="T27" s="8">
        <v>54582.161455384601</v>
      </c>
      <c r="U27" s="3"/>
      <c r="V27" s="7">
        <f t="shared" si="5"/>
        <v>1.5314860116550113E-2</v>
      </c>
      <c r="W27" s="3"/>
      <c r="X27" s="8">
        <f t="shared" si="6"/>
        <v>-16035.041455384599</v>
      </c>
      <c r="Y27" s="3"/>
      <c r="Z27" s="7">
        <f t="shared" si="7"/>
        <v>-0.29377805912819382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3370.56</v>
      </c>
      <c r="E28" s="3"/>
      <c r="F28" s="7">
        <f t="shared" si="0"/>
        <v>1.5250333811444619E-2</v>
      </c>
      <c r="G28" s="3"/>
      <c r="H28" s="8">
        <v>2546.4776769230798</v>
      </c>
      <c r="I28" s="3"/>
      <c r="J28" s="7">
        <f t="shared" si="1"/>
        <v>1.0479332003798683E-2</v>
      </c>
      <c r="K28" s="3"/>
      <c r="L28" s="8">
        <f t="shared" si="2"/>
        <v>824.08232307692015</v>
      </c>
      <c r="M28" s="3"/>
      <c r="N28" s="7">
        <f t="shared" si="3"/>
        <v>0.3236165510285024</v>
      </c>
      <c r="O28" s="12"/>
      <c r="P28" s="8">
        <v>25789.88</v>
      </c>
      <c r="Q28" s="3"/>
      <c r="R28" s="7">
        <f t="shared" si="4"/>
        <v>6.5702707418890506E-3</v>
      </c>
      <c r="S28" s="3"/>
      <c r="T28" s="8">
        <v>33620.810123076997</v>
      </c>
      <c r="U28" s="3"/>
      <c r="V28" s="7">
        <f t="shared" si="5"/>
        <v>9.4334484071484283E-3</v>
      </c>
      <c r="W28" s="3"/>
      <c r="X28" s="8">
        <f t="shared" si="6"/>
        <v>-7830.9301230769961</v>
      </c>
      <c r="Y28" s="3"/>
      <c r="Z28" s="7">
        <f t="shared" si="7"/>
        <v>-0.23291913830779234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12704.31</v>
      </c>
      <c r="E29" s="3"/>
      <c r="F29" s="7">
        <f t="shared" si="0"/>
        <v>5.748153670134161E-2</v>
      </c>
      <c r="G29" s="3"/>
      <c r="H29" s="8">
        <v>20158.384615384599</v>
      </c>
      <c r="I29" s="3"/>
      <c r="J29" s="7">
        <f t="shared" si="1"/>
        <v>8.2956315289648558E-2</v>
      </c>
      <c r="K29" s="3"/>
      <c r="L29" s="8">
        <f t="shared" si="2"/>
        <v>-7454.0746153845994</v>
      </c>
      <c r="M29" s="3"/>
      <c r="N29" s="7">
        <f t="shared" si="3"/>
        <v>-0.36977539409064319</v>
      </c>
      <c r="O29" s="12"/>
      <c r="P29" s="8">
        <v>146522.85</v>
      </c>
      <c r="Q29" s="3"/>
      <c r="R29" s="7">
        <f t="shared" si="4"/>
        <v>3.732839370998229E-2</v>
      </c>
      <c r="S29" s="3"/>
      <c r="T29" s="8">
        <v>235969.615384615</v>
      </c>
      <c r="U29" s="3"/>
      <c r="V29" s="7">
        <f t="shared" si="5"/>
        <v>6.6209207459207345E-2</v>
      </c>
      <c r="W29" s="3"/>
      <c r="X29" s="8">
        <f t="shared" si="6"/>
        <v>-89446.765384614991</v>
      </c>
      <c r="Y29" s="3"/>
      <c r="Z29" s="7">
        <f t="shared" si="7"/>
        <v>-0.379060521155754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243.42</v>
      </c>
      <c r="E30" s="3"/>
      <c r="F30" s="7">
        <f t="shared" si="0"/>
        <v>1.10137076817557E-3</v>
      </c>
      <c r="G30" s="3"/>
      <c r="H30" s="8">
        <v>141.09770769230801</v>
      </c>
      <c r="I30" s="3"/>
      <c r="J30" s="7">
        <f t="shared" si="1"/>
        <v>5.8064900284900416E-4</v>
      </c>
      <c r="K30" s="3"/>
      <c r="L30" s="8">
        <f t="shared" si="2"/>
        <v>102.32229230769198</v>
      </c>
      <c r="M30" s="3"/>
      <c r="N30" s="7">
        <f t="shared" si="3"/>
        <v>0.72518748873529804</v>
      </c>
      <c r="O30" s="12"/>
      <c r="P30" s="8">
        <v>1862.58</v>
      </c>
      <c r="Q30" s="3"/>
      <c r="R30" s="7">
        <f t="shared" si="4"/>
        <v>4.7451383559860331E-4</v>
      </c>
      <c r="S30" s="3"/>
      <c r="T30" s="8">
        <v>1862.8944923076999</v>
      </c>
      <c r="U30" s="3"/>
      <c r="V30" s="7">
        <f t="shared" si="5"/>
        <v>5.2269766899767109E-4</v>
      </c>
      <c r="W30" s="3"/>
      <c r="X30" s="8">
        <f t="shared" si="6"/>
        <v>-0.31449230769999303</v>
      </c>
      <c r="Y30" s="3"/>
      <c r="Z30" s="7">
        <f t="shared" si="7"/>
        <v>-1.6881917306567858E-4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806.64</v>
      </c>
      <c r="E31" s="3"/>
      <c r="F31" s="7">
        <f t="shared" si="0"/>
        <v>3.6496989419157909E-3</v>
      </c>
      <c r="G31" s="3"/>
      <c r="H31" s="8">
        <v>1246.0870769230801</v>
      </c>
      <c r="I31" s="3"/>
      <c r="J31" s="7">
        <f t="shared" si="1"/>
        <v>5.1279303577081489E-3</v>
      </c>
      <c r="K31" s="3"/>
      <c r="L31" s="8">
        <f t="shared" si="2"/>
        <v>-439.44707692308009</v>
      </c>
      <c r="M31" s="3"/>
      <c r="N31" s="7">
        <f t="shared" si="3"/>
        <v>-0.35266161174561866</v>
      </c>
      <c r="O31" s="12"/>
      <c r="P31" s="8">
        <v>13008.97</v>
      </c>
      <c r="Q31" s="3"/>
      <c r="R31" s="7">
        <f t="shared" si="4"/>
        <v>3.3141858346418208E-3</v>
      </c>
      <c r="S31" s="3"/>
      <c r="T31" s="8">
        <v>14953.044923076999</v>
      </c>
      <c r="U31" s="3"/>
      <c r="V31" s="7">
        <f t="shared" si="5"/>
        <v>4.1955793835794048E-3</v>
      </c>
      <c r="W31" s="3"/>
      <c r="X31" s="8">
        <f t="shared" si="6"/>
        <v>-1944.0749230769998</v>
      </c>
      <c r="Y31" s="3"/>
      <c r="Z31" s="7">
        <f t="shared" si="7"/>
        <v>-0.13001197636186551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","6117"," - ","RETIREMENT STAFF HOURLY")</f>
        <v xml:space="preserve">          6117 - RETIREMENT STAFF HOURLY</v>
      </c>
      <c r="C33" s="12"/>
      <c r="D33" s="8">
        <v>435.99</v>
      </c>
      <c r="E33" s="3"/>
      <c r="F33" s="7">
        <f t="shared" si="0"/>
        <v>1.9726671646408131E-3</v>
      </c>
      <c r="G33" s="3"/>
      <c r="H33" s="8"/>
      <c r="I33" s="3"/>
      <c r="J33" s="7">
        <f t="shared" si="1"/>
        <v>0</v>
      </c>
      <c r="K33" s="3"/>
      <c r="L33" s="8">
        <f t="shared" si="2"/>
        <v>435.99</v>
      </c>
      <c r="M33" s="3"/>
      <c r="N33" s="7">
        <f t="shared" si="3"/>
        <v>0</v>
      </c>
      <c r="O33" s="12"/>
      <c r="P33" s="8">
        <v>5696.19</v>
      </c>
      <c r="Q33" s="3"/>
      <c r="R33" s="7">
        <f t="shared" si="4"/>
        <v>1.4511704008409883E-3</v>
      </c>
      <c r="S33" s="3"/>
      <c r="T33" s="8"/>
      <c r="U33" s="3"/>
      <c r="V33" s="7">
        <f t="shared" si="5"/>
        <v>0</v>
      </c>
      <c r="W33" s="3"/>
      <c r="X33" s="8">
        <f t="shared" si="6"/>
        <v>5696.19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","6118"," - ","VACATION")</f>
        <v xml:space="preserve">          6118 - VACATION</v>
      </c>
      <c r="C34" s="12"/>
      <c r="D34" s="8">
        <v>1504.76</v>
      </c>
      <c r="E34" s="3"/>
      <c r="F34" s="7">
        <f t="shared" si="0"/>
        <v>6.8083915747262783E-3</v>
      </c>
      <c r="G34" s="3"/>
      <c r="H34" s="8">
        <v>1810.68153846154</v>
      </c>
      <c r="I34" s="3"/>
      <c r="J34" s="7">
        <f t="shared" si="1"/>
        <v>7.4513643558088063E-3</v>
      </c>
      <c r="K34" s="3"/>
      <c r="L34" s="8">
        <f t="shared" si="2"/>
        <v>-305.92153846153997</v>
      </c>
      <c r="M34" s="3"/>
      <c r="N34" s="7">
        <f t="shared" si="3"/>
        <v>-0.16895380659896089</v>
      </c>
      <c r="O34" s="12"/>
      <c r="P34" s="8">
        <v>24155.56</v>
      </c>
      <c r="Q34" s="3"/>
      <c r="R34" s="7">
        <f t="shared" si="4"/>
        <v>6.1539087860023193E-3</v>
      </c>
      <c r="S34" s="3"/>
      <c r="T34" s="8">
        <v>21728.1784615385</v>
      </c>
      <c r="U34" s="3"/>
      <c r="V34" s="7">
        <f t="shared" si="5"/>
        <v>6.0965708365708473E-3</v>
      </c>
      <c r="W34" s="3"/>
      <c r="X34" s="8">
        <f t="shared" si="6"/>
        <v>2427.3815384615009</v>
      </c>
      <c r="Y34" s="3"/>
      <c r="Z34" s="7">
        <f t="shared" si="7"/>
        <v>0.11171583217425517</v>
      </c>
    </row>
    <row r="35" spans="1:26" s="70" customFormat="1" ht="15" hidden="1" customHeight="1" outlineLevel="2" x14ac:dyDescent="0.25">
      <c r="A35" s="25"/>
      <c r="B35" s="12" t="str">
        <f>CONCATENATE("          ","6119"," - ","SICK LEAVE")</f>
        <v xml:space="preserve">          6119 - SICK LEAVE</v>
      </c>
      <c r="C35" s="12"/>
      <c r="D35" s="8">
        <v>1484.9</v>
      </c>
      <c r="E35" s="3"/>
      <c r="F35" s="7">
        <f t="shared" si="0"/>
        <v>6.7185336195214199E-3</v>
      </c>
      <c r="G35" s="3"/>
      <c r="H35" s="8">
        <v>2015.68153846154</v>
      </c>
      <c r="I35" s="3"/>
      <c r="J35" s="7">
        <f t="shared" si="1"/>
        <v>8.2949857549857609E-3</v>
      </c>
      <c r="K35" s="3"/>
      <c r="L35" s="8">
        <f t="shared" si="2"/>
        <v>-530.78153846153987</v>
      </c>
      <c r="M35" s="3"/>
      <c r="N35" s="7">
        <f t="shared" si="3"/>
        <v>-0.26332609012565372</v>
      </c>
      <c r="O35" s="12"/>
      <c r="P35" s="8">
        <v>21891.35</v>
      </c>
      <c r="Q35" s="3"/>
      <c r="R35" s="7">
        <f t="shared" si="4"/>
        <v>5.5770750544575183E-3</v>
      </c>
      <c r="S35" s="3"/>
      <c r="T35" s="8">
        <v>26612.778461538499</v>
      </c>
      <c r="U35" s="3"/>
      <c r="V35" s="7">
        <f t="shared" si="5"/>
        <v>7.4671095571095672E-3</v>
      </c>
      <c r="W35" s="3"/>
      <c r="X35" s="8">
        <f t="shared" si="6"/>
        <v>-4721.4284615385004</v>
      </c>
      <c r="Y35" s="3"/>
      <c r="Z35" s="7">
        <f t="shared" si="7"/>
        <v>-0.17741208300974795</v>
      </c>
    </row>
    <row r="36" spans="1:26" s="70" customFormat="1" ht="15" hidden="1" customHeight="1" outlineLevel="2" x14ac:dyDescent="0.25">
      <c r="A36" s="25"/>
      <c r="B36" s="12" t="str">
        <f>CONCATENATE("          ","6156"," - ","EMPLOYEE MEALS")</f>
        <v xml:space="preserve">          6156 - EMPLOYEE MEALS</v>
      </c>
      <c r="C36" s="12"/>
      <c r="D36" s="8">
        <v>1219.67</v>
      </c>
      <c r="E36" s="3"/>
      <c r="F36" s="7">
        <f t="shared" si="0"/>
        <v>5.5184819851314499E-3</v>
      </c>
      <c r="G36" s="3"/>
      <c r="H36" s="8"/>
      <c r="I36" s="3"/>
      <c r="J36" s="7">
        <f t="shared" si="1"/>
        <v>0</v>
      </c>
      <c r="K36" s="3"/>
      <c r="L36" s="8">
        <f t="shared" si="2"/>
        <v>1219.67</v>
      </c>
      <c r="M36" s="3"/>
      <c r="N36" s="7">
        <f t="shared" si="3"/>
        <v>0</v>
      </c>
      <c r="O36" s="12"/>
      <c r="P36" s="8">
        <v>13398</v>
      </c>
      <c r="Q36" s="3"/>
      <c r="R36" s="7">
        <f t="shared" si="4"/>
        <v>3.4132957345993659E-3</v>
      </c>
      <c r="S36" s="3"/>
      <c r="T36" s="8"/>
      <c r="U36" s="3"/>
      <c r="V36" s="7">
        <f t="shared" si="5"/>
        <v>0</v>
      </c>
      <c r="W36" s="3"/>
      <c r="X36" s="8">
        <f t="shared" si="6"/>
        <v>13398</v>
      </c>
      <c r="Y36" s="3"/>
      <c r="Z36" s="7">
        <f t="shared" si="7"/>
        <v>0</v>
      </c>
    </row>
    <row r="37" spans="1:26" s="69" customFormat="1" ht="15" customHeight="1" outlineLevel="1" collapsed="1" x14ac:dyDescent="0.25">
      <c r="A37" s="26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53775.270000000004</v>
      </c>
      <c r="E37" s="2"/>
      <c r="F37" s="6">
        <f t="shared" si="0"/>
        <v>0.24330995985846968</v>
      </c>
      <c r="G37" s="2"/>
      <c r="H37" s="2">
        <f>SUM(OSRRefH22_1x_0)</f>
        <v>64118.421538461502</v>
      </c>
      <c r="I37" s="2"/>
      <c r="J37" s="6">
        <f t="shared" si="1"/>
        <v>0.26386181703070577</v>
      </c>
      <c r="K37" s="2"/>
      <c r="L37" s="2">
        <f t="shared" si="2"/>
        <v>-10343.151538461498</v>
      </c>
      <c r="M37" s="2"/>
      <c r="N37" s="6">
        <f t="shared" si="3"/>
        <v>-0.16131325897124818</v>
      </c>
      <c r="O37" s="14"/>
      <c r="P37" s="2">
        <f>SUM(OSRRefP22_1x_0)</f>
        <v>752771.9800000001</v>
      </c>
      <c r="Q37" s="2"/>
      <c r="R37" s="6">
        <f t="shared" si="4"/>
        <v>0.19177738382295265</v>
      </c>
      <c r="S37" s="2"/>
      <c r="T37" s="2">
        <f>SUM(OSRRefT22_1x_0)</f>
        <v>850241.05846153805</v>
      </c>
      <c r="U37" s="2"/>
      <c r="V37" s="6">
        <f t="shared" si="5"/>
        <v>0.23856370888370876</v>
      </c>
      <c r="W37" s="2"/>
      <c r="X37" s="2">
        <f t="shared" si="6"/>
        <v>-97469.078461537953</v>
      </c>
      <c r="Y37" s="2"/>
      <c r="Z37" s="6">
        <f t="shared" si="7"/>
        <v>-0.11463699322860578</v>
      </c>
    </row>
    <row r="38" spans="1:26" s="70" customFormat="1" ht="15" hidden="1" customHeight="1" outlineLevel="2" x14ac:dyDescent="0.25">
      <c r="A38" s="25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","6002"," - ","STAFF SALARIES")</f>
        <v xml:space="preserve">          6002 - STAFF SALARIES</v>
      </c>
      <c r="C39" s="12"/>
      <c r="D39" s="8">
        <v>8693.16</v>
      </c>
      <c r="E39" s="3"/>
      <c r="F39" s="7">
        <f t="shared" si="0"/>
        <v>3.9332808754716696E-2</v>
      </c>
      <c r="G39" s="3"/>
      <c r="H39" s="8">
        <v>13620.0215384615</v>
      </c>
      <c r="I39" s="3"/>
      <c r="J39" s="7">
        <f t="shared" si="1"/>
        <v>5.6049471351693414E-2</v>
      </c>
      <c r="K39" s="3"/>
      <c r="L39" s="8">
        <f t="shared" si="2"/>
        <v>-4926.8615384615005</v>
      </c>
      <c r="M39" s="3"/>
      <c r="N39" s="7">
        <f t="shared" si="3"/>
        <v>-0.36173669215930127</v>
      </c>
      <c r="O39" s="12"/>
      <c r="P39" s="8">
        <v>136348.1</v>
      </c>
      <c r="Q39" s="3"/>
      <c r="R39" s="7">
        <f t="shared" si="4"/>
        <v>3.4736258258749653E-2</v>
      </c>
      <c r="S39" s="3"/>
      <c r="T39" s="8">
        <v>163440.258461538</v>
      </c>
      <c r="U39" s="3"/>
      <c r="V39" s="7">
        <f t="shared" si="5"/>
        <v>4.5858658378658247E-2</v>
      </c>
      <c r="W39" s="3"/>
      <c r="X39" s="8">
        <f t="shared" si="6"/>
        <v>-27092.158461537998</v>
      </c>
      <c r="Y39" s="3"/>
      <c r="Z39" s="7">
        <f t="shared" si="7"/>
        <v>-0.16576184299117178</v>
      </c>
    </row>
    <row r="40" spans="1:26" s="70" customFormat="1" ht="15" hidden="1" customHeight="1" outlineLevel="2" x14ac:dyDescent="0.25">
      <c r="A40" s="25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","6004"," - ","STAFF HOURLY")</f>
        <v xml:space="preserve">          6004 - STAFF HOURLY</v>
      </c>
      <c r="C41" s="12"/>
      <c r="D41" s="8">
        <v>26425.72</v>
      </c>
      <c r="E41" s="3"/>
      <c r="F41" s="7">
        <f t="shared" si="0"/>
        <v>0.11956501329386461</v>
      </c>
      <c r="G41" s="3"/>
      <c r="H41" s="8">
        <v>35518.400000000001</v>
      </c>
      <c r="I41" s="3"/>
      <c r="J41" s="7">
        <f t="shared" si="1"/>
        <v>0.14616625514403292</v>
      </c>
      <c r="K41" s="3"/>
      <c r="L41" s="8">
        <f t="shared" si="2"/>
        <v>-9092.68</v>
      </c>
      <c r="M41" s="3"/>
      <c r="N41" s="7">
        <f t="shared" si="3"/>
        <v>-0.25599914410559033</v>
      </c>
      <c r="O41" s="12"/>
      <c r="P41" s="8">
        <v>269527.34000000003</v>
      </c>
      <c r="Q41" s="3"/>
      <c r="R41" s="7">
        <f t="shared" si="4"/>
        <v>6.8665212716816929E-2</v>
      </c>
      <c r="S41" s="3"/>
      <c r="T41" s="8">
        <v>512920.8</v>
      </c>
      <c r="U41" s="3"/>
      <c r="V41" s="7">
        <f t="shared" si="5"/>
        <v>0.14391717171717172</v>
      </c>
      <c r="W41" s="3"/>
      <c r="X41" s="8">
        <f t="shared" si="6"/>
        <v>-243393.45999999996</v>
      </c>
      <c r="Y41" s="3"/>
      <c r="Z41" s="7">
        <f t="shared" si="7"/>
        <v>-0.47452444899875373</v>
      </c>
    </row>
    <row r="42" spans="1:26" s="70" customFormat="1" ht="15" hidden="1" customHeight="1" outlineLevel="2" x14ac:dyDescent="0.25">
      <c r="A42" s="25"/>
      <c r="B42" s="12" t="str">
        <f>CONCATENATE("          ","6005"," - ","TEMPORARY WAGES-HOURLY")</f>
        <v xml:space="preserve">          6005 - TEMPORARY WAGES-HOURLY</v>
      </c>
      <c r="C42" s="12"/>
      <c r="D42" s="8">
        <v>2564.79</v>
      </c>
      <c r="E42" s="3"/>
      <c r="F42" s="7">
        <f t="shared" si="0"/>
        <v>1.1604571245210008E-2</v>
      </c>
      <c r="G42" s="3"/>
      <c r="H42" s="8">
        <v>0</v>
      </c>
      <c r="I42" s="3"/>
      <c r="J42" s="7">
        <f t="shared" si="1"/>
        <v>0</v>
      </c>
      <c r="K42" s="3"/>
      <c r="L42" s="8">
        <f t="shared" si="2"/>
        <v>2564.79</v>
      </c>
      <c r="M42" s="3"/>
      <c r="N42" s="7">
        <f t="shared" si="3"/>
        <v>0</v>
      </c>
      <c r="O42" s="12"/>
      <c r="P42" s="8">
        <v>105203.79</v>
      </c>
      <c r="Q42" s="3"/>
      <c r="R42" s="7">
        <f t="shared" si="4"/>
        <v>2.6801884435787984E-2</v>
      </c>
      <c r="S42" s="3"/>
      <c r="T42" s="8">
        <v>0</v>
      </c>
      <c r="U42" s="3"/>
      <c r="V42" s="7">
        <f t="shared" si="5"/>
        <v>0</v>
      </c>
      <c r="W42" s="3"/>
      <c r="X42" s="8">
        <f t="shared" si="6"/>
        <v>105203.79</v>
      </c>
      <c r="Y42" s="3"/>
      <c r="Z42" s="7">
        <f t="shared" si="7"/>
        <v>0</v>
      </c>
    </row>
    <row r="43" spans="1:26" s="70" customFormat="1" ht="15" hidden="1" customHeight="1" outlineLevel="2" x14ac:dyDescent="0.25">
      <c r="A43" s="25"/>
      <c r="B43" s="12" t="str">
        <f>CONCATENATE("          ","6006"," - ","TEMPORARY PART TIME")</f>
        <v xml:space="preserve">          6006 - TEMPORARY PART TIME</v>
      </c>
      <c r="C43" s="12"/>
      <c r="D43" s="8">
        <v>1205.7</v>
      </c>
      <c r="E43" s="3"/>
      <c r="F43" s="7">
        <f t="shared" si="0"/>
        <v>5.4552737457451515E-3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1205.7</v>
      </c>
      <c r="M43" s="3"/>
      <c r="N43" s="7">
        <f t="shared" si="3"/>
        <v>0</v>
      </c>
      <c r="O43" s="12"/>
      <c r="P43" s="8">
        <v>5175.5</v>
      </c>
      <c r="Q43" s="3"/>
      <c r="R43" s="7">
        <f t="shared" si="4"/>
        <v>1.3185185904178995E-3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5175.5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","6007"," - ","STUDENT HOURLY")</f>
        <v xml:space="preserve">          6007 - STUDENT HOURLY</v>
      </c>
      <c r="C44" s="12"/>
      <c r="D44" s="8">
        <v>8814.2000000000007</v>
      </c>
      <c r="E44" s="3"/>
      <c r="F44" s="7">
        <f t="shared" si="0"/>
        <v>3.9880462677073E-2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8814.2000000000007</v>
      </c>
      <c r="M44" s="3"/>
      <c r="N44" s="7">
        <f t="shared" si="3"/>
        <v>0</v>
      </c>
      <c r="O44" s="12"/>
      <c r="P44" s="8">
        <v>153624.45000000001</v>
      </c>
      <c r="Q44" s="3"/>
      <c r="R44" s="7">
        <f t="shared" si="4"/>
        <v>3.913760859196698E-2</v>
      </c>
      <c r="S44" s="3"/>
      <c r="T44" s="8">
        <v>0</v>
      </c>
      <c r="U44" s="3"/>
      <c r="V44" s="7">
        <f t="shared" si="5"/>
        <v>0</v>
      </c>
      <c r="W44" s="3"/>
      <c r="X44" s="8">
        <f t="shared" si="6"/>
        <v>153624.45000000001</v>
      </c>
      <c r="Y44" s="3"/>
      <c r="Z44" s="7">
        <f t="shared" si="7"/>
        <v>0</v>
      </c>
    </row>
    <row r="45" spans="1:26" s="70" customFormat="1" ht="15" hidden="1" customHeight="1" outlineLevel="2" x14ac:dyDescent="0.25">
      <c r="A45" s="25"/>
      <c r="B45" s="12" t="str">
        <f>CONCATENATE("          ","6008"," - ","STUDENT HOURLY-FICA EXEMPT")</f>
        <v xml:space="preserve">          6008 - STUDENT HOURLY-FICA EXEMPT</v>
      </c>
      <c r="C45" s="12"/>
      <c r="D45" s="8">
        <v>6071.7</v>
      </c>
      <c r="E45" s="3"/>
      <c r="F45" s="7">
        <f t="shared" si="0"/>
        <v>2.7471830141860193E-2</v>
      </c>
      <c r="G45" s="3"/>
      <c r="H45" s="8">
        <v>14980</v>
      </c>
      <c r="I45" s="3"/>
      <c r="J45" s="7">
        <f t="shared" si="1"/>
        <v>6.1646090534979422E-2</v>
      </c>
      <c r="K45" s="3"/>
      <c r="L45" s="8">
        <f t="shared" si="2"/>
        <v>-8908.2999999999993</v>
      </c>
      <c r="M45" s="3"/>
      <c r="N45" s="7">
        <f t="shared" si="3"/>
        <v>-0.59467957276368488</v>
      </c>
      <c r="O45" s="12"/>
      <c r="P45" s="8">
        <v>82892.800000000003</v>
      </c>
      <c r="Q45" s="3"/>
      <c r="R45" s="7">
        <f t="shared" si="4"/>
        <v>2.1117901229213192E-2</v>
      </c>
      <c r="S45" s="3"/>
      <c r="T45" s="8">
        <v>173880</v>
      </c>
      <c r="U45" s="3"/>
      <c r="V45" s="7">
        <f t="shared" si="5"/>
        <v>4.878787878787879E-2</v>
      </c>
      <c r="W45" s="3"/>
      <c r="X45" s="8">
        <f t="shared" si="6"/>
        <v>-90987.199999999997</v>
      </c>
      <c r="Y45" s="3"/>
      <c r="Z45" s="7">
        <f t="shared" si="7"/>
        <v>-0.52327582240625714</v>
      </c>
    </row>
    <row r="46" spans="1:26" s="70" customFormat="1" ht="15" hidden="1" customHeight="1" outlineLevel="2" x14ac:dyDescent="0.25">
      <c r="A46" s="25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25">
      <c r="A47" s="25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25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452.08</v>
      </c>
      <c r="E48" s="2"/>
      <c r="F48" s="6">
        <f t="shared" si="0"/>
        <v>2.0454674918938941E-3</v>
      </c>
      <c r="G48" s="2"/>
      <c r="H48" s="2">
        <f>SUM(OSRRefH22_2x_0)</f>
        <v>600</v>
      </c>
      <c r="I48" s="2"/>
      <c r="J48" s="6">
        <f t="shared" si="1"/>
        <v>2.4691358024691358E-3</v>
      </c>
      <c r="K48" s="2"/>
      <c r="L48" s="2">
        <f t="shared" si="2"/>
        <v>-147.92000000000002</v>
      </c>
      <c r="M48" s="2"/>
      <c r="N48" s="6">
        <f t="shared" si="3"/>
        <v>-0.24653333333333335</v>
      </c>
      <c r="O48" s="14"/>
      <c r="P48" s="2">
        <f>SUM(OSRRefP22_2x_0)</f>
        <v>1902.42</v>
      </c>
      <c r="Q48" s="2"/>
      <c r="R48" s="6">
        <f t="shared" si="4"/>
        <v>4.8466353720081549E-4</v>
      </c>
      <c r="S48" s="2"/>
      <c r="T48" s="2">
        <f>SUM(OSRRefT22_2x_0)</f>
        <v>6600</v>
      </c>
      <c r="U48" s="2"/>
      <c r="V48" s="6">
        <f t="shared" si="5"/>
        <v>1.8518518518518519E-3</v>
      </c>
      <c r="W48" s="2"/>
      <c r="X48" s="2">
        <f t="shared" si="6"/>
        <v>-4697.58</v>
      </c>
      <c r="Y48" s="2"/>
      <c r="Z48" s="6">
        <f t="shared" si="7"/>
        <v>-0.71175454545454542</v>
      </c>
    </row>
    <row r="49" spans="1:26" s="70" customFormat="1" ht="15" hidden="1" customHeight="1" outlineLevel="2" x14ac:dyDescent="0.25">
      <c r="A49" s="25"/>
      <c r="B49" s="12" t="str">
        <f>CONCATENATE("          ","6362"," - ","ADVERTISING EXPENSE")</f>
        <v xml:space="preserve">          6362 - ADVERTISING EXPENSE</v>
      </c>
      <c r="C49" s="12"/>
      <c r="D49" s="8">
        <v>452.08</v>
      </c>
      <c r="E49" s="3"/>
      <c r="F49" s="7">
        <f t="shared" si="0"/>
        <v>2.0454674918938941E-3</v>
      </c>
      <c r="G49" s="3"/>
      <c r="H49" s="8">
        <v>600</v>
      </c>
      <c r="I49" s="3"/>
      <c r="J49" s="7">
        <f t="shared" si="1"/>
        <v>2.4691358024691358E-3</v>
      </c>
      <c r="K49" s="3"/>
      <c r="L49" s="8">
        <f t="shared" si="2"/>
        <v>-147.92000000000002</v>
      </c>
      <c r="M49" s="3"/>
      <c r="N49" s="7">
        <f t="shared" si="3"/>
        <v>-0.24653333333333335</v>
      </c>
      <c r="O49" s="12"/>
      <c r="P49" s="8">
        <v>1902.42</v>
      </c>
      <c r="Q49" s="3"/>
      <c r="R49" s="7">
        <f t="shared" si="4"/>
        <v>4.8466353720081549E-4</v>
      </c>
      <c r="S49" s="3"/>
      <c r="T49" s="8">
        <v>6600</v>
      </c>
      <c r="U49" s="3"/>
      <c r="V49" s="7">
        <f t="shared" si="5"/>
        <v>1.8518518518518519E-3</v>
      </c>
      <c r="W49" s="3"/>
      <c r="X49" s="8">
        <f t="shared" si="6"/>
        <v>-4697.58</v>
      </c>
      <c r="Y49" s="3"/>
      <c r="Z49" s="7">
        <f t="shared" si="7"/>
        <v>-0.71175454545454542</v>
      </c>
    </row>
    <row r="50" spans="1:26" s="69" customFormat="1" ht="15" customHeight="1" outlineLevel="1" collapsed="1" x14ac:dyDescent="0.25">
      <c r="A50" s="26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15</v>
      </c>
      <c r="I50" s="2"/>
      <c r="J50" s="6">
        <f t="shared" si="1"/>
        <v>6.1728395061728397E-5</v>
      </c>
      <c r="K50" s="2"/>
      <c r="L50" s="2">
        <f t="shared" si="2"/>
        <v>-15</v>
      </c>
      <c r="M50" s="2"/>
      <c r="N50" s="6">
        <f t="shared" si="3"/>
        <v>-1</v>
      </c>
      <c r="O50" s="14"/>
      <c r="P50" s="2">
        <f>SUM(OSRRefP22_3x_0)</f>
        <v>-23.9</v>
      </c>
      <c r="Q50" s="2"/>
      <c r="R50" s="6">
        <f t="shared" si="4"/>
        <v>-6.0888019149817019E-6</v>
      </c>
      <c r="S50" s="2"/>
      <c r="T50" s="2">
        <f>SUM(OSRRefT22_3x_0)</f>
        <v>165</v>
      </c>
      <c r="U50" s="2"/>
      <c r="V50" s="6">
        <f t="shared" si="5"/>
        <v>4.6296296296296294E-5</v>
      </c>
      <c r="W50" s="2"/>
      <c r="X50" s="2">
        <f t="shared" si="6"/>
        <v>-188.9</v>
      </c>
      <c r="Y50" s="2"/>
      <c r="Z50" s="6">
        <f t="shared" si="7"/>
        <v>-1.1448484848484848</v>
      </c>
    </row>
    <row r="51" spans="1:26" s="70" customFormat="1" ht="15" hidden="1" customHeight="1" outlineLevel="2" x14ac:dyDescent="0.25">
      <c r="A51" s="25"/>
      <c r="B51" s="12" t="str">
        <f>CONCATENATE("          ","6272"," - ","CASH (OVER/SHORT)")</f>
        <v xml:space="preserve">          6272 - CASH (OVER/SHORT)</v>
      </c>
      <c r="C51" s="12"/>
      <c r="D51" s="8"/>
      <c r="E51" s="3"/>
      <c r="F51" s="7">
        <f t="shared" si="0"/>
        <v>0</v>
      </c>
      <c r="G51" s="3"/>
      <c r="H51" s="8">
        <v>15</v>
      </c>
      <c r="I51" s="3"/>
      <c r="J51" s="7">
        <f t="shared" si="1"/>
        <v>6.1728395061728397E-5</v>
      </c>
      <c r="K51" s="3"/>
      <c r="L51" s="8">
        <f t="shared" si="2"/>
        <v>-15</v>
      </c>
      <c r="M51" s="3"/>
      <c r="N51" s="7">
        <f t="shared" si="3"/>
        <v>-1</v>
      </c>
      <c r="O51" s="12"/>
      <c r="P51" s="8">
        <v>-23.9</v>
      </c>
      <c r="Q51" s="3"/>
      <c r="R51" s="7">
        <f t="shared" si="4"/>
        <v>-6.0888019149817019E-6</v>
      </c>
      <c r="S51" s="3"/>
      <c r="T51" s="8">
        <v>165</v>
      </c>
      <c r="U51" s="3"/>
      <c r="V51" s="7">
        <f t="shared" si="5"/>
        <v>4.6296296296296294E-5</v>
      </c>
      <c r="W51" s="3"/>
      <c r="X51" s="8">
        <f t="shared" si="6"/>
        <v>-188.9</v>
      </c>
      <c r="Y51" s="3"/>
      <c r="Z51" s="7">
        <f t="shared" si="7"/>
        <v>-1.1448484848484848</v>
      </c>
    </row>
    <row r="52" spans="1:26" s="69" customFormat="1" ht="15" customHeight="1" outlineLevel="1" collapsed="1" x14ac:dyDescent="0.25">
      <c r="A52" s="26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57.68</v>
      </c>
      <c r="E52" s="2"/>
      <c r="F52" s="6">
        <f t="shared" si="0"/>
        <v>2.6097718309246108E-4</v>
      </c>
      <c r="G52" s="2"/>
      <c r="H52" s="2">
        <f>SUM(OSRRefH22_4x_0)</f>
        <v>250</v>
      </c>
      <c r="I52" s="2"/>
      <c r="J52" s="6">
        <f t="shared" si="1"/>
        <v>1.02880658436214E-3</v>
      </c>
      <c r="K52" s="2"/>
      <c r="L52" s="2">
        <f t="shared" si="2"/>
        <v>-192.32</v>
      </c>
      <c r="M52" s="2"/>
      <c r="N52" s="6">
        <f t="shared" si="3"/>
        <v>-0.76927999999999996</v>
      </c>
      <c r="O52" s="14"/>
      <c r="P52" s="2">
        <f>SUM(OSRRefP22_4x_0)</f>
        <v>668.95</v>
      </c>
      <c r="Q52" s="2"/>
      <c r="R52" s="6">
        <f t="shared" si="4"/>
        <v>1.7042276322288747E-4</v>
      </c>
      <c r="S52" s="2"/>
      <c r="T52" s="2">
        <f>SUM(OSRRefT22_4x_0)</f>
        <v>2750</v>
      </c>
      <c r="U52" s="2"/>
      <c r="V52" s="6">
        <f t="shared" si="5"/>
        <v>7.716049382716049E-4</v>
      </c>
      <c r="W52" s="2"/>
      <c r="X52" s="2">
        <f t="shared" si="6"/>
        <v>-2081.0500000000002</v>
      </c>
      <c r="Y52" s="2"/>
      <c r="Z52" s="6">
        <f t="shared" si="7"/>
        <v>-0.75674545454545461</v>
      </c>
    </row>
    <row r="53" spans="1:26" s="70" customFormat="1" ht="15" hidden="1" customHeight="1" outlineLevel="2" x14ac:dyDescent="0.25">
      <c r="A53" s="25"/>
      <c r="B53" s="12" t="str">
        <f>CONCATENATE("          ","6381"," - ","BANK/CREDIT CARD FEES")</f>
        <v xml:space="preserve">          6381 - BANK/CREDIT CARD FEES</v>
      </c>
      <c r="C53" s="12"/>
      <c r="D53" s="8">
        <v>57.68</v>
      </c>
      <c r="E53" s="3"/>
      <c r="F53" s="7">
        <f t="shared" si="0"/>
        <v>2.6097718309246108E-4</v>
      </c>
      <c r="G53" s="3"/>
      <c r="H53" s="8">
        <v>250</v>
      </c>
      <c r="I53" s="3"/>
      <c r="J53" s="7">
        <f t="shared" si="1"/>
        <v>1.02880658436214E-3</v>
      </c>
      <c r="K53" s="3"/>
      <c r="L53" s="8">
        <f t="shared" si="2"/>
        <v>-192.32</v>
      </c>
      <c r="M53" s="3"/>
      <c r="N53" s="7">
        <f t="shared" si="3"/>
        <v>-0.76927999999999996</v>
      </c>
      <c r="O53" s="12"/>
      <c r="P53" s="8">
        <v>668.95</v>
      </c>
      <c r="Q53" s="3"/>
      <c r="R53" s="7">
        <f t="shared" si="4"/>
        <v>1.7042276322288747E-4</v>
      </c>
      <c r="S53" s="3"/>
      <c r="T53" s="8">
        <v>2750</v>
      </c>
      <c r="U53" s="3"/>
      <c r="V53" s="7">
        <f t="shared" si="5"/>
        <v>7.716049382716049E-4</v>
      </c>
      <c r="W53" s="3"/>
      <c r="X53" s="8">
        <f t="shared" si="6"/>
        <v>-2081.0500000000002</v>
      </c>
      <c r="Y53" s="3"/>
      <c r="Z53" s="7">
        <f t="shared" si="7"/>
        <v>-0.75674545454545461</v>
      </c>
    </row>
    <row r="54" spans="1:26" s="69" customFormat="1" ht="15" customHeight="1" outlineLevel="1" collapsed="1" x14ac:dyDescent="0.25">
      <c r="A54" s="26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1.2375150719074034E-3</v>
      </c>
      <c r="G54" s="2"/>
      <c r="H54" s="2">
        <f>SUM(OSRRefH22_5x_0)</f>
        <v>0</v>
      </c>
      <c r="I54" s="2"/>
      <c r="J54" s="6">
        <f t="shared" si="1"/>
        <v>0</v>
      </c>
      <c r="K54" s="2"/>
      <c r="L54" s="2">
        <f t="shared" si="2"/>
        <v>273.51</v>
      </c>
      <c r="M54" s="2"/>
      <c r="N54" s="6">
        <f t="shared" si="3"/>
        <v>0</v>
      </c>
      <c r="O54" s="14"/>
      <c r="P54" s="2">
        <f>SUM(OSRRefP22_5x_0)</f>
        <v>3008.61</v>
      </c>
      <c r="Q54" s="2"/>
      <c r="R54" s="6">
        <f t="shared" si="4"/>
        <v>7.6647825646163602E-4</v>
      </c>
      <c r="S54" s="2"/>
      <c r="T54" s="2">
        <f>SUM(OSRRefT22_5x_0)</f>
        <v>0</v>
      </c>
      <c r="U54" s="2"/>
      <c r="V54" s="6">
        <f t="shared" si="5"/>
        <v>0</v>
      </c>
      <c r="W54" s="2"/>
      <c r="X54" s="2">
        <f t="shared" si="6"/>
        <v>3008.61</v>
      </c>
      <c r="Y54" s="2"/>
      <c r="Z54" s="6">
        <f t="shared" si="7"/>
        <v>0</v>
      </c>
    </row>
    <row r="55" spans="1:26" s="70" customFormat="1" ht="15" hidden="1" customHeight="1" outlineLevel="2" x14ac:dyDescent="0.25">
      <c r="A55" s="25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273.51</v>
      </c>
      <c r="E55" s="3"/>
      <c r="F55" s="7">
        <f t="shared" si="0"/>
        <v>1.2375150719074034E-3</v>
      </c>
      <c r="G55" s="3"/>
      <c r="H55" s="8"/>
      <c r="I55" s="3"/>
      <c r="J55" s="7">
        <f t="shared" si="1"/>
        <v>0</v>
      </c>
      <c r="K55" s="3"/>
      <c r="L55" s="8">
        <f t="shared" si="2"/>
        <v>273.51</v>
      </c>
      <c r="M55" s="3"/>
      <c r="N55" s="7">
        <f t="shared" si="3"/>
        <v>0</v>
      </c>
      <c r="O55" s="12"/>
      <c r="P55" s="8">
        <v>3008.61</v>
      </c>
      <c r="Q55" s="3"/>
      <c r="R55" s="7">
        <f t="shared" si="4"/>
        <v>7.6647825646163602E-4</v>
      </c>
      <c r="S55" s="3"/>
      <c r="T55" s="8"/>
      <c r="U55" s="3"/>
      <c r="V55" s="7">
        <f t="shared" si="5"/>
        <v>0</v>
      </c>
      <c r="W55" s="3"/>
      <c r="X55" s="8">
        <f t="shared" si="6"/>
        <v>3008.61</v>
      </c>
      <c r="Y55" s="3"/>
      <c r="Z55" s="7">
        <f t="shared" si="7"/>
        <v>0</v>
      </c>
    </row>
    <row r="56" spans="1:26" s="69" customFormat="1" ht="15" customHeight="1" outlineLevel="1" collapsed="1" x14ac:dyDescent="0.25">
      <c r="A56" s="26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1945.17</v>
      </c>
      <c r="E56" s="2"/>
      <c r="F56" s="6">
        <f t="shared" si="0"/>
        <v>8.8010573376553838E-3</v>
      </c>
      <c r="G56" s="2"/>
      <c r="H56" s="2">
        <f>SUM(OSRRefH22_6x_0)</f>
        <v>6000</v>
      </c>
      <c r="I56" s="2"/>
      <c r="J56" s="6">
        <f t="shared" si="1"/>
        <v>2.4691358024691357E-2</v>
      </c>
      <c r="K56" s="2"/>
      <c r="L56" s="2">
        <f t="shared" si="2"/>
        <v>-4054.83</v>
      </c>
      <c r="M56" s="2"/>
      <c r="N56" s="6">
        <f t="shared" si="3"/>
        <v>-0.67580499999999999</v>
      </c>
      <c r="O56" s="14"/>
      <c r="P56" s="2">
        <f>SUM(OSRRefP22_6x_0)</f>
        <v>35511.86</v>
      </c>
      <c r="Q56" s="2"/>
      <c r="R56" s="6">
        <f t="shared" si="4"/>
        <v>9.047057789646951E-3</v>
      </c>
      <c r="S56" s="2"/>
      <c r="T56" s="2">
        <f>SUM(OSRRefT22_6x_0)</f>
        <v>60000</v>
      </c>
      <c r="U56" s="2"/>
      <c r="V56" s="6">
        <f t="shared" si="5"/>
        <v>1.6835016835016835E-2</v>
      </c>
      <c r="W56" s="2"/>
      <c r="X56" s="2">
        <f t="shared" si="6"/>
        <v>-24488.14</v>
      </c>
      <c r="Y56" s="2"/>
      <c r="Z56" s="6">
        <f t="shared" si="7"/>
        <v>-0.40813566666666667</v>
      </c>
    </row>
    <row r="57" spans="1:26" s="70" customFormat="1" ht="15" hidden="1" customHeight="1" outlineLevel="2" x14ac:dyDescent="0.25">
      <c r="A57" s="25"/>
      <c r="B57" s="12" t="str">
        <f>CONCATENATE("          ","6399"," - ","DONATION-ON CAMPUS")</f>
        <v xml:space="preserve">          6399 - DONATION-ON CAMPUS</v>
      </c>
      <c r="C57" s="12"/>
      <c r="D57" s="8">
        <v>1945.17</v>
      </c>
      <c r="E57" s="3"/>
      <c r="F57" s="7">
        <f t="shared" ref="F57:F87" si="8">IF(D$12=0,0,D57/D$12)</f>
        <v>8.8010573376553838E-3</v>
      </c>
      <c r="G57" s="3"/>
      <c r="H57" s="8">
        <v>6000</v>
      </c>
      <c r="I57" s="3"/>
      <c r="J57" s="7">
        <f t="shared" ref="J57:J87" si="9">IF(H$12=0,0,H57/H$12)</f>
        <v>2.4691358024691357E-2</v>
      </c>
      <c r="K57" s="3"/>
      <c r="L57" s="8">
        <f t="shared" ref="L57:L87" si="10">+D57-H57</f>
        <v>-4054.83</v>
      </c>
      <c r="M57" s="3"/>
      <c r="N57" s="7">
        <f t="shared" ref="N57:N87" si="11">IF(H57=0,0,L57/H57)</f>
        <v>-0.67580499999999999</v>
      </c>
      <c r="O57" s="12"/>
      <c r="P57" s="8">
        <v>35511.86</v>
      </c>
      <c r="Q57" s="3"/>
      <c r="R57" s="7">
        <f t="shared" ref="R57:R87" si="12">IF(P$12=0,0,P57/P$12)</f>
        <v>9.047057789646951E-3</v>
      </c>
      <c r="S57" s="3"/>
      <c r="T57" s="8">
        <v>60000</v>
      </c>
      <c r="U57" s="3"/>
      <c r="V57" s="7">
        <f t="shared" ref="V57:V87" si="13">IF(T$12=0,0,T57/T$12)</f>
        <v>1.6835016835016835E-2</v>
      </c>
      <c r="W57" s="3"/>
      <c r="X57" s="8">
        <f t="shared" ref="X57:X87" si="14">+P57-T57</f>
        <v>-24488.14</v>
      </c>
      <c r="Y57" s="3"/>
      <c r="Z57" s="7">
        <f t="shared" ref="Z57:Z87" si="15">IF(T57=0,0,X57/T57)</f>
        <v>-0.40813566666666667</v>
      </c>
    </row>
    <row r="58" spans="1:26" s="69" customFormat="1" ht="15" customHeight="1" outlineLevel="1" collapsed="1" x14ac:dyDescent="0.25">
      <c r="A58" s="26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200</v>
      </c>
      <c r="I58" s="2"/>
      <c r="J58" s="6">
        <f t="shared" si="9"/>
        <v>8.2304526748971192E-4</v>
      </c>
      <c r="K58" s="2"/>
      <c r="L58" s="2">
        <f t="shared" si="10"/>
        <v>-200</v>
      </c>
      <c r="M58" s="2"/>
      <c r="N58" s="6">
        <f t="shared" si="11"/>
        <v>-1</v>
      </c>
      <c r="O58" s="14"/>
      <c r="P58" s="2">
        <f>SUM(OSRRefP22_7x_0)</f>
        <v>34.47</v>
      </c>
      <c r="Q58" s="2"/>
      <c r="R58" s="6">
        <f t="shared" si="12"/>
        <v>8.7816318832393E-6</v>
      </c>
      <c r="S58" s="2"/>
      <c r="T58" s="2">
        <f>SUM(OSRRefT22_7x_0)</f>
        <v>700</v>
      </c>
      <c r="U58" s="2"/>
      <c r="V58" s="6">
        <f t="shared" si="13"/>
        <v>1.9640852974186308E-4</v>
      </c>
      <c r="W58" s="2"/>
      <c r="X58" s="2">
        <f t="shared" si="14"/>
        <v>-665.53</v>
      </c>
      <c r="Y58" s="2"/>
      <c r="Z58" s="6">
        <f t="shared" si="15"/>
        <v>-0.95075714285714286</v>
      </c>
    </row>
    <row r="59" spans="1:26" s="70" customFormat="1" ht="15" hidden="1" customHeight="1" outlineLevel="2" x14ac:dyDescent="0.25">
      <c r="A59" s="25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8"/>
        <v>0</v>
      </c>
      <c r="G59" s="3"/>
      <c r="H59" s="8">
        <v>200</v>
      </c>
      <c r="I59" s="3"/>
      <c r="J59" s="7">
        <f t="shared" si="9"/>
        <v>8.2304526748971192E-4</v>
      </c>
      <c r="K59" s="3"/>
      <c r="L59" s="8">
        <f t="shared" si="10"/>
        <v>-200</v>
      </c>
      <c r="M59" s="3"/>
      <c r="N59" s="7">
        <f t="shared" si="11"/>
        <v>-1</v>
      </c>
      <c r="O59" s="12"/>
      <c r="P59" s="8">
        <v>34.47</v>
      </c>
      <c r="Q59" s="3"/>
      <c r="R59" s="7">
        <f t="shared" si="12"/>
        <v>8.7816318832393E-6</v>
      </c>
      <c r="S59" s="3"/>
      <c r="T59" s="8">
        <v>700</v>
      </c>
      <c r="U59" s="3"/>
      <c r="V59" s="7">
        <f t="shared" si="13"/>
        <v>1.9640852974186308E-4</v>
      </c>
      <c r="W59" s="3"/>
      <c r="X59" s="8">
        <f t="shared" si="14"/>
        <v>-665.53</v>
      </c>
      <c r="Y59" s="3"/>
      <c r="Z59" s="7">
        <f t="shared" si="15"/>
        <v>-0.95075714285714286</v>
      </c>
    </row>
    <row r="60" spans="1:26" s="69" customFormat="1" ht="15" customHeight="1" outlineLevel="1" collapsed="1" x14ac:dyDescent="0.25">
      <c r="A60" s="26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213.38</v>
      </c>
      <c r="E60" s="2"/>
      <c r="F60" s="6">
        <f t="shared" si="8"/>
        <v>9.6545269293116058E-4</v>
      </c>
      <c r="G60" s="2"/>
      <c r="H60" s="2">
        <f>SUM(OSRRefH22_8x_0)</f>
        <v>500</v>
      </c>
      <c r="I60" s="2"/>
      <c r="J60" s="6">
        <f t="shared" si="9"/>
        <v>2.05761316872428E-3</v>
      </c>
      <c r="K60" s="2"/>
      <c r="L60" s="2">
        <f t="shared" si="10"/>
        <v>-286.62</v>
      </c>
      <c r="M60" s="2"/>
      <c r="N60" s="6">
        <f t="shared" si="11"/>
        <v>-0.57323999999999997</v>
      </c>
      <c r="O60" s="14"/>
      <c r="P60" s="2">
        <f>SUM(OSRRefP22_8x_0)</f>
        <v>7620.53</v>
      </c>
      <c r="Q60" s="2"/>
      <c r="R60" s="6">
        <f t="shared" si="12"/>
        <v>1.9414183120157118E-3</v>
      </c>
      <c r="S60" s="2"/>
      <c r="T60" s="2">
        <f>SUM(OSRRefT22_8x_0)</f>
        <v>5500</v>
      </c>
      <c r="U60" s="2"/>
      <c r="V60" s="6">
        <f t="shared" si="13"/>
        <v>1.5432098765432098E-3</v>
      </c>
      <c r="W60" s="2"/>
      <c r="X60" s="2">
        <f t="shared" si="14"/>
        <v>2120.5299999999997</v>
      </c>
      <c r="Y60" s="2"/>
      <c r="Z60" s="6">
        <f t="shared" si="15"/>
        <v>0.38555090909090906</v>
      </c>
    </row>
    <row r="61" spans="1:26" s="70" customFormat="1" ht="15" hidden="1" customHeight="1" outlineLevel="2" x14ac:dyDescent="0.25">
      <c r="A61" s="25"/>
      <c r="B61" s="12" t="str">
        <f>CONCATENATE("          ","6351"," - ","EQUIPMENT RENTAL")</f>
        <v xml:space="preserve">          6351 - EQUIPMENT RENTAL</v>
      </c>
      <c r="C61" s="12"/>
      <c r="D61" s="8">
        <v>213.38</v>
      </c>
      <c r="E61" s="3"/>
      <c r="F61" s="7">
        <f t="shared" si="8"/>
        <v>9.6545269293116058E-4</v>
      </c>
      <c r="G61" s="3"/>
      <c r="H61" s="8">
        <v>500</v>
      </c>
      <c r="I61" s="3"/>
      <c r="J61" s="7">
        <f t="shared" si="9"/>
        <v>2.05761316872428E-3</v>
      </c>
      <c r="K61" s="3"/>
      <c r="L61" s="8">
        <f t="shared" si="10"/>
        <v>-286.62</v>
      </c>
      <c r="M61" s="3"/>
      <c r="N61" s="7">
        <f t="shared" si="11"/>
        <v>-0.57323999999999997</v>
      </c>
      <c r="O61" s="12"/>
      <c r="P61" s="8">
        <v>7620.53</v>
      </c>
      <c r="Q61" s="3"/>
      <c r="R61" s="7">
        <f t="shared" si="12"/>
        <v>1.9414183120157118E-3</v>
      </c>
      <c r="S61" s="3"/>
      <c r="T61" s="8">
        <v>5500</v>
      </c>
      <c r="U61" s="3"/>
      <c r="V61" s="7">
        <f t="shared" si="13"/>
        <v>1.5432098765432098E-3</v>
      </c>
      <c r="W61" s="3"/>
      <c r="X61" s="8">
        <f t="shared" si="14"/>
        <v>2120.5299999999997</v>
      </c>
      <c r="Y61" s="3"/>
      <c r="Z61" s="7">
        <f t="shared" si="15"/>
        <v>0.38555090909090906</v>
      </c>
    </row>
    <row r="62" spans="1:26" s="69" customFormat="1" ht="15" customHeight="1" outlineLevel="1" collapsed="1" x14ac:dyDescent="0.25">
      <c r="A62" s="26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0</v>
      </c>
      <c r="E62" s="2"/>
      <c r="F62" s="6">
        <f t="shared" si="8"/>
        <v>0</v>
      </c>
      <c r="G62" s="2"/>
      <c r="H62" s="2">
        <f>SUM(OSRRefH22_9x_0)</f>
        <v>150</v>
      </c>
      <c r="I62" s="2"/>
      <c r="J62" s="6">
        <f t="shared" si="9"/>
        <v>6.1728395061728394E-4</v>
      </c>
      <c r="K62" s="2"/>
      <c r="L62" s="2">
        <f t="shared" si="10"/>
        <v>-150</v>
      </c>
      <c r="M62" s="2"/>
      <c r="N62" s="6">
        <f t="shared" si="11"/>
        <v>-1</v>
      </c>
      <c r="O62" s="14"/>
      <c r="P62" s="2">
        <f>SUM(OSRRefP22_9x_0)</f>
        <v>12088.71</v>
      </c>
      <c r="Q62" s="2"/>
      <c r="R62" s="6">
        <f t="shared" si="12"/>
        <v>3.0797389371405208E-3</v>
      </c>
      <c r="S62" s="2"/>
      <c r="T62" s="2">
        <f>SUM(OSRRefT22_9x_0)</f>
        <v>3300</v>
      </c>
      <c r="U62" s="2"/>
      <c r="V62" s="6">
        <f t="shared" si="13"/>
        <v>9.2592592592592596E-4</v>
      </c>
      <c r="W62" s="2"/>
      <c r="X62" s="2">
        <f t="shared" si="14"/>
        <v>8788.7099999999991</v>
      </c>
      <c r="Y62" s="2"/>
      <c r="Z62" s="6">
        <f t="shared" si="15"/>
        <v>2.6632454545454545</v>
      </c>
    </row>
    <row r="63" spans="1:26" s="70" customFormat="1" ht="15" hidden="1" customHeight="1" outlineLevel="2" x14ac:dyDescent="0.25">
      <c r="A63" s="25"/>
      <c r="B63" s="12" t="str">
        <f>CONCATENATE("          ","6279"," - ","GENERAL EXPENSE")</f>
        <v xml:space="preserve">          6279 - GENERAL EXPENSE</v>
      </c>
      <c r="C63" s="12"/>
      <c r="D63" s="8"/>
      <c r="E63" s="3"/>
      <c r="F63" s="7">
        <f t="shared" si="8"/>
        <v>0</v>
      </c>
      <c r="G63" s="3"/>
      <c r="H63" s="8">
        <v>150</v>
      </c>
      <c r="I63" s="3"/>
      <c r="J63" s="7">
        <f t="shared" si="9"/>
        <v>6.1728395061728394E-4</v>
      </c>
      <c r="K63" s="3"/>
      <c r="L63" s="8">
        <f t="shared" si="10"/>
        <v>-150</v>
      </c>
      <c r="M63" s="3"/>
      <c r="N63" s="7">
        <f t="shared" si="11"/>
        <v>-1</v>
      </c>
      <c r="O63" s="12"/>
      <c r="P63" s="8">
        <v>12088.71</v>
      </c>
      <c r="Q63" s="3"/>
      <c r="R63" s="7">
        <f t="shared" si="12"/>
        <v>3.0797389371405208E-3</v>
      </c>
      <c r="S63" s="3"/>
      <c r="T63" s="8">
        <v>3300</v>
      </c>
      <c r="U63" s="3"/>
      <c r="V63" s="7">
        <f t="shared" si="13"/>
        <v>9.2592592592592596E-4</v>
      </c>
      <c r="W63" s="3"/>
      <c r="X63" s="8">
        <f t="shared" si="14"/>
        <v>8788.7099999999991</v>
      </c>
      <c r="Y63" s="3"/>
      <c r="Z63" s="7">
        <f t="shared" si="15"/>
        <v>2.6632454545454545</v>
      </c>
    </row>
    <row r="64" spans="1:26" s="69" customFormat="1" ht="15" customHeight="1" outlineLevel="1" collapsed="1" x14ac:dyDescent="0.25">
      <c r="A64" s="26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18350.14</v>
      </c>
      <c r="E64" s="2"/>
      <c r="F64" s="6">
        <f t="shared" si="8"/>
        <v>8.3026488324415629E-2</v>
      </c>
      <c r="G64" s="2"/>
      <c r="H64" s="2">
        <f>SUM(OSRRefH22_10x_0)</f>
        <v>19440</v>
      </c>
      <c r="I64" s="2"/>
      <c r="J64" s="6">
        <f t="shared" si="9"/>
        <v>0.08</v>
      </c>
      <c r="K64" s="2"/>
      <c r="L64" s="2">
        <f t="shared" si="10"/>
        <v>-1089.8600000000006</v>
      </c>
      <c r="M64" s="2"/>
      <c r="N64" s="6">
        <f t="shared" si="11"/>
        <v>-5.6062757201646121E-2</v>
      </c>
      <c r="O64" s="14"/>
      <c r="P64" s="2">
        <f>SUM(OSRRefP22_10x_0)</f>
        <v>307597.90000000002</v>
      </c>
      <c r="Q64" s="2"/>
      <c r="R64" s="6">
        <f t="shared" si="12"/>
        <v>7.8364128977587877E-2</v>
      </c>
      <c r="S64" s="2"/>
      <c r="T64" s="2">
        <f>SUM(OSRRefT22_10x_0)</f>
        <v>285120</v>
      </c>
      <c r="U64" s="2"/>
      <c r="V64" s="6">
        <f t="shared" si="13"/>
        <v>0.08</v>
      </c>
      <c r="W64" s="2"/>
      <c r="X64" s="2">
        <f t="shared" si="14"/>
        <v>22477.900000000023</v>
      </c>
      <c r="Y64" s="2"/>
      <c r="Z64" s="6">
        <f t="shared" si="15"/>
        <v>7.8836630190796939E-2</v>
      </c>
    </row>
    <row r="65" spans="1:26" s="70" customFormat="1" ht="15" hidden="1" customHeight="1" outlineLevel="2" x14ac:dyDescent="0.25">
      <c r="A65" s="25"/>
      <c r="B65" s="12" t="str">
        <f>CONCATENATE("          ","6387"," - ","COMMISSION DUE HOUSING")</f>
        <v xml:space="preserve">          6387 - COMMISSION DUE HOUSING</v>
      </c>
      <c r="C65" s="12"/>
      <c r="D65" s="8">
        <v>18350.14</v>
      </c>
      <c r="E65" s="3"/>
      <c r="F65" s="7">
        <f t="shared" si="8"/>
        <v>8.3026488324415629E-2</v>
      </c>
      <c r="G65" s="3"/>
      <c r="H65" s="8">
        <v>19440</v>
      </c>
      <c r="I65" s="3"/>
      <c r="J65" s="7">
        <f t="shared" si="9"/>
        <v>0.08</v>
      </c>
      <c r="K65" s="3"/>
      <c r="L65" s="8">
        <f t="shared" si="10"/>
        <v>-1089.8600000000006</v>
      </c>
      <c r="M65" s="3"/>
      <c r="N65" s="7">
        <f t="shared" si="11"/>
        <v>-5.6062757201646121E-2</v>
      </c>
      <c r="O65" s="12"/>
      <c r="P65" s="8">
        <v>307597.90000000002</v>
      </c>
      <c r="Q65" s="3"/>
      <c r="R65" s="7">
        <f t="shared" si="12"/>
        <v>7.8364128977587877E-2</v>
      </c>
      <c r="S65" s="3"/>
      <c r="T65" s="8">
        <v>285120</v>
      </c>
      <c r="U65" s="3"/>
      <c r="V65" s="7">
        <f t="shared" si="13"/>
        <v>0.08</v>
      </c>
      <c r="W65" s="3"/>
      <c r="X65" s="8">
        <f t="shared" si="14"/>
        <v>22477.900000000023</v>
      </c>
      <c r="Y65" s="3"/>
      <c r="Z65" s="7">
        <f t="shared" si="15"/>
        <v>7.8836630190796939E-2</v>
      </c>
    </row>
    <row r="66" spans="1:26" s="69" customFormat="1" ht="15" customHeight="1" outlineLevel="1" collapsed="1" x14ac:dyDescent="0.25">
      <c r="A66" s="26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90</v>
      </c>
      <c r="E66" s="2"/>
      <c r="F66" s="6">
        <f t="shared" si="8"/>
        <v>4.0721127736341017E-4</v>
      </c>
      <c r="G66" s="2"/>
      <c r="H66" s="2">
        <f>SUM(OSRRefH22_11x_0)</f>
        <v>2050</v>
      </c>
      <c r="I66" s="2"/>
      <c r="J66" s="6">
        <f t="shared" si="9"/>
        <v>8.4362139917695481E-3</v>
      </c>
      <c r="K66" s="2"/>
      <c r="L66" s="2">
        <f t="shared" si="10"/>
        <v>-1960</v>
      </c>
      <c r="M66" s="2"/>
      <c r="N66" s="6">
        <f t="shared" si="11"/>
        <v>-0.95609756097560972</v>
      </c>
      <c r="O66" s="14"/>
      <c r="P66" s="2">
        <f>SUM(OSRRefP22_11x_0)</f>
        <v>3520.57</v>
      </c>
      <c r="Q66" s="2"/>
      <c r="R66" s="6">
        <f t="shared" si="12"/>
        <v>8.9690599823544486E-4</v>
      </c>
      <c r="S66" s="2"/>
      <c r="T66" s="2">
        <f>SUM(OSRRefT22_11x_0)</f>
        <v>9950</v>
      </c>
      <c r="U66" s="2"/>
      <c r="V66" s="6">
        <f t="shared" si="13"/>
        <v>2.7918069584736251E-3</v>
      </c>
      <c r="W66" s="2"/>
      <c r="X66" s="2">
        <f t="shared" si="14"/>
        <v>-6429.43</v>
      </c>
      <c r="Y66" s="2"/>
      <c r="Z66" s="6">
        <f t="shared" si="15"/>
        <v>-0.64617386934673371</v>
      </c>
    </row>
    <row r="67" spans="1:26" s="70" customFormat="1" ht="15" hidden="1" customHeight="1" outlineLevel="2" x14ac:dyDescent="0.25">
      <c r="A67" s="25"/>
      <c r="B67" s="12" t="str">
        <f>CONCATENATE("          ","6371"," - ","COMPUTER SOFTWARE MAINTENANCE")</f>
        <v xml:space="preserve">          6371 - COMPUTER SOFTWARE MAINTENANCE</v>
      </c>
      <c r="C67" s="12"/>
      <c r="D67" s="8"/>
      <c r="E67" s="3"/>
      <c r="F67" s="7">
        <f t="shared" si="8"/>
        <v>0</v>
      </c>
      <c r="G67" s="3"/>
      <c r="H67" s="8">
        <v>0</v>
      </c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25">
      <c r="A68" s="25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8"/>
        <v>0</v>
      </c>
      <c r="G68" s="3"/>
      <c r="H68" s="8">
        <v>1800</v>
      </c>
      <c r="I68" s="3"/>
      <c r="J68" s="7">
        <f t="shared" si="9"/>
        <v>7.4074074074074077E-3</v>
      </c>
      <c r="K68" s="3"/>
      <c r="L68" s="8">
        <f t="shared" si="10"/>
        <v>-1800</v>
      </c>
      <c r="M68" s="3"/>
      <c r="N68" s="7">
        <f t="shared" si="11"/>
        <v>-1</v>
      </c>
      <c r="O68" s="12"/>
      <c r="P68" s="8">
        <v>277.57</v>
      </c>
      <c r="Q68" s="3"/>
      <c r="R68" s="7">
        <f t="shared" si="12"/>
        <v>7.071417353730005E-5</v>
      </c>
      <c r="S68" s="3"/>
      <c r="T68" s="8">
        <v>7200</v>
      </c>
      <c r="U68" s="3"/>
      <c r="V68" s="7">
        <f t="shared" si="13"/>
        <v>2.0202020202020202E-3</v>
      </c>
      <c r="W68" s="3"/>
      <c r="X68" s="8">
        <f t="shared" si="14"/>
        <v>-6922.43</v>
      </c>
      <c r="Y68" s="3"/>
      <c r="Z68" s="7">
        <f t="shared" si="15"/>
        <v>-0.96144861111111113</v>
      </c>
    </row>
    <row r="69" spans="1:26" s="70" customFormat="1" ht="15" hidden="1" customHeight="1" outlineLevel="2" x14ac:dyDescent="0.25">
      <c r="A69" s="25"/>
      <c r="B69" s="12" t="str">
        <f>CONCATENATE("          ","6375"," - ","OUTSIDE REPAIRS &amp; MAINTENANCE")</f>
        <v xml:space="preserve">          6375 - OUTSIDE REPAIRS &amp; MAINTENANCE</v>
      </c>
      <c r="C69" s="12"/>
      <c r="D69" s="8">
        <v>90</v>
      </c>
      <c r="E69" s="3"/>
      <c r="F69" s="7">
        <f t="shared" si="8"/>
        <v>4.0721127736341017E-4</v>
      </c>
      <c r="G69" s="3"/>
      <c r="H69" s="8">
        <v>250</v>
      </c>
      <c r="I69" s="3"/>
      <c r="J69" s="7">
        <f t="shared" si="9"/>
        <v>1.02880658436214E-3</v>
      </c>
      <c r="K69" s="3"/>
      <c r="L69" s="8">
        <f t="shared" si="10"/>
        <v>-160</v>
      </c>
      <c r="M69" s="3"/>
      <c r="N69" s="7">
        <f t="shared" si="11"/>
        <v>-0.64</v>
      </c>
      <c r="O69" s="12"/>
      <c r="P69" s="8">
        <v>3243</v>
      </c>
      <c r="Q69" s="3"/>
      <c r="R69" s="7">
        <f t="shared" si="12"/>
        <v>8.2619182469814484E-4</v>
      </c>
      <c r="S69" s="3"/>
      <c r="T69" s="8">
        <v>2750</v>
      </c>
      <c r="U69" s="3"/>
      <c r="V69" s="7">
        <f t="shared" si="13"/>
        <v>7.716049382716049E-4</v>
      </c>
      <c r="W69" s="3"/>
      <c r="X69" s="8">
        <f t="shared" si="14"/>
        <v>493</v>
      </c>
      <c r="Y69" s="3"/>
      <c r="Z69" s="7">
        <f t="shared" si="15"/>
        <v>0.17927272727272728</v>
      </c>
    </row>
    <row r="70" spans="1:26" s="69" customFormat="1" ht="15" customHeight="1" outlineLevel="1" collapsed="1" x14ac:dyDescent="0.25">
      <c r="A70" s="26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6873.2599999999993</v>
      </c>
      <c r="E70" s="2"/>
      <c r="F70" s="6">
        <f t="shared" si="8"/>
        <v>3.1098544269453691E-2</v>
      </c>
      <c r="G70" s="2"/>
      <c r="H70" s="2">
        <f>SUM(OSRRefH22_12x_0)</f>
        <v>7150</v>
      </c>
      <c r="I70" s="2"/>
      <c r="J70" s="6">
        <f t="shared" si="9"/>
        <v>2.9423868312757201E-2</v>
      </c>
      <c r="K70" s="2"/>
      <c r="L70" s="2">
        <f t="shared" si="10"/>
        <v>-276.74000000000069</v>
      </c>
      <c r="M70" s="2"/>
      <c r="N70" s="6">
        <f t="shared" si="11"/>
        <v>-3.87048951048952E-2</v>
      </c>
      <c r="O70" s="14"/>
      <c r="P70" s="2">
        <f>SUM(OSRRefP22_12x_0)</f>
        <v>65805.75</v>
      </c>
      <c r="Q70" s="2"/>
      <c r="R70" s="6">
        <f t="shared" si="12"/>
        <v>1.6764777264301554E-2</v>
      </c>
      <c r="S70" s="2"/>
      <c r="T70" s="2">
        <f>SUM(OSRRefT22_12x_0)</f>
        <v>78650</v>
      </c>
      <c r="U70" s="2"/>
      <c r="V70" s="6">
        <f t="shared" si="13"/>
        <v>2.2067901234567901E-2</v>
      </c>
      <c r="W70" s="2"/>
      <c r="X70" s="2">
        <f t="shared" si="14"/>
        <v>-12844.25</v>
      </c>
      <c r="Y70" s="2"/>
      <c r="Z70" s="6">
        <f t="shared" si="15"/>
        <v>-0.16330896376350923</v>
      </c>
    </row>
    <row r="71" spans="1:26" s="70" customFormat="1" ht="15" hidden="1" customHeight="1" outlineLevel="2" x14ac:dyDescent="0.25">
      <c r="A71" s="25"/>
      <c r="B71" s="12" t="str">
        <f>CONCATENATE("          ","6282"," - ","JANITORIAL/EXTERMINATOR EXPENS")</f>
        <v xml:space="preserve">          6282 - JANITORIAL/EXTERMINATOR EXPENS</v>
      </c>
      <c r="C71" s="12"/>
      <c r="D71" s="8">
        <v>454.95</v>
      </c>
      <c r="E71" s="3"/>
      <c r="F71" s="7">
        <f t="shared" si="8"/>
        <v>2.0584530070720383E-3</v>
      </c>
      <c r="G71" s="3"/>
      <c r="H71" s="8">
        <v>450</v>
      </c>
      <c r="I71" s="3"/>
      <c r="J71" s="7">
        <f t="shared" si="9"/>
        <v>1.8518518518518519E-3</v>
      </c>
      <c r="K71" s="3"/>
      <c r="L71" s="8">
        <f t="shared" si="10"/>
        <v>4.9499999999999886</v>
      </c>
      <c r="M71" s="3"/>
      <c r="N71" s="7">
        <f t="shared" si="11"/>
        <v>1.0999999999999975E-2</v>
      </c>
      <c r="O71" s="12"/>
      <c r="P71" s="8">
        <v>5233.82</v>
      </c>
      <c r="Q71" s="3"/>
      <c r="R71" s="7">
        <f t="shared" si="12"/>
        <v>1.3333762861368005E-3</v>
      </c>
      <c r="S71" s="3"/>
      <c r="T71" s="8">
        <v>4950</v>
      </c>
      <c r="U71" s="3"/>
      <c r="V71" s="7">
        <f t="shared" si="13"/>
        <v>1.3888888888888889E-3</v>
      </c>
      <c r="W71" s="3"/>
      <c r="X71" s="8">
        <f t="shared" si="14"/>
        <v>283.81999999999971</v>
      </c>
      <c r="Y71" s="3"/>
      <c r="Z71" s="7">
        <f t="shared" si="15"/>
        <v>5.733737373737368E-2</v>
      </c>
    </row>
    <row r="72" spans="1:26" s="70" customFormat="1" ht="15" hidden="1" customHeight="1" outlineLevel="2" x14ac:dyDescent="0.25">
      <c r="A72" s="25"/>
      <c r="B72" s="12" t="str">
        <f>CONCATENATE("          ","6284"," - ","TRASH REMOVAL EXPENSE")</f>
        <v xml:space="preserve">          6284 - TRASH REMOVAL EXPENSE</v>
      </c>
      <c r="C72" s="12"/>
      <c r="D72" s="8"/>
      <c r="E72" s="3"/>
      <c r="F72" s="7">
        <f t="shared" si="8"/>
        <v>0</v>
      </c>
      <c r="G72" s="3"/>
      <c r="H72" s="8">
        <v>500</v>
      </c>
      <c r="I72" s="3"/>
      <c r="J72" s="7">
        <f t="shared" si="9"/>
        <v>2.05761316872428E-3</v>
      </c>
      <c r="K72" s="3"/>
      <c r="L72" s="8">
        <f t="shared" si="10"/>
        <v>-500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5500</v>
      </c>
      <c r="U72" s="3"/>
      <c r="V72" s="7">
        <f t="shared" si="13"/>
        <v>1.5432098765432098E-3</v>
      </c>
      <c r="W72" s="3"/>
      <c r="X72" s="8">
        <f t="shared" si="14"/>
        <v>-5500</v>
      </c>
      <c r="Y72" s="3"/>
      <c r="Z72" s="7">
        <f t="shared" si="15"/>
        <v>-1</v>
      </c>
    </row>
    <row r="73" spans="1:26" s="70" customFormat="1" ht="15" hidden="1" customHeight="1" outlineLevel="2" x14ac:dyDescent="0.25">
      <c r="A73" s="25"/>
      <c r="B73" s="12" t="str">
        <f>CONCATENATE("          ","6285"," - ","JANITORIAL SERVICES")</f>
        <v xml:space="preserve">          6285 - JANITORIAL SERVICES</v>
      </c>
      <c r="C73" s="12"/>
      <c r="D73" s="8">
        <v>4428.8599999999997</v>
      </c>
      <c r="E73" s="3"/>
      <c r="F73" s="7">
        <f t="shared" si="8"/>
        <v>2.0038685976263473E-2</v>
      </c>
      <c r="G73" s="3"/>
      <c r="H73" s="8">
        <v>4700</v>
      </c>
      <c r="I73" s="3"/>
      <c r="J73" s="7">
        <f t="shared" si="9"/>
        <v>1.934156378600823E-2</v>
      </c>
      <c r="K73" s="3"/>
      <c r="L73" s="8">
        <f t="shared" si="10"/>
        <v>-271.14000000000033</v>
      </c>
      <c r="M73" s="3"/>
      <c r="N73" s="7">
        <f t="shared" si="11"/>
        <v>-5.7689361702127732E-2</v>
      </c>
      <c r="O73" s="12"/>
      <c r="P73" s="8">
        <v>49200.46</v>
      </c>
      <c r="Q73" s="3"/>
      <c r="R73" s="7">
        <f t="shared" si="12"/>
        <v>1.253438724125442E-2</v>
      </c>
      <c r="S73" s="3"/>
      <c r="T73" s="8">
        <v>51700</v>
      </c>
      <c r="U73" s="3"/>
      <c r="V73" s="7">
        <f t="shared" si="13"/>
        <v>1.4506172839506172E-2</v>
      </c>
      <c r="W73" s="3"/>
      <c r="X73" s="8">
        <f t="shared" si="14"/>
        <v>-2499.5400000000009</v>
      </c>
      <c r="Y73" s="3"/>
      <c r="Z73" s="7">
        <f t="shared" si="15"/>
        <v>-4.8347001934235995E-2</v>
      </c>
    </row>
    <row r="74" spans="1:26" s="70" customFormat="1" ht="15" hidden="1" customHeight="1" outlineLevel="2" x14ac:dyDescent="0.25">
      <c r="A74" s="25"/>
      <c r="B74" s="12" t="str">
        <f>CONCATENATE("          ","6286"," - ","LAUNDRY EXPENSE")</f>
        <v xml:space="preserve">          6286 - LAUNDRY EXPENSE</v>
      </c>
      <c r="C74" s="12"/>
      <c r="D74" s="8">
        <v>1989.45</v>
      </c>
      <c r="E74" s="3"/>
      <c r="F74" s="7">
        <f t="shared" si="8"/>
        <v>9.0014052861181817E-3</v>
      </c>
      <c r="G74" s="3"/>
      <c r="H74" s="8">
        <v>1500</v>
      </c>
      <c r="I74" s="3"/>
      <c r="J74" s="7">
        <f t="shared" si="9"/>
        <v>6.1728395061728392E-3</v>
      </c>
      <c r="K74" s="3"/>
      <c r="L74" s="8">
        <f t="shared" si="10"/>
        <v>489.45000000000005</v>
      </c>
      <c r="M74" s="3"/>
      <c r="N74" s="7">
        <f t="shared" si="11"/>
        <v>0.32630000000000003</v>
      </c>
      <c r="O74" s="12"/>
      <c r="P74" s="8">
        <v>11371.47</v>
      </c>
      <c r="Q74" s="3"/>
      <c r="R74" s="7">
        <f t="shared" si="12"/>
        <v>2.8970137369103339E-3</v>
      </c>
      <c r="S74" s="3"/>
      <c r="T74" s="8">
        <v>16500</v>
      </c>
      <c r="U74" s="3"/>
      <c r="V74" s="7">
        <f t="shared" si="13"/>
        <v>4.6296296296296294E-3</v>
      </c>
      <c r="W74" s="3"/>
      <c r="X74" s="8">
        <f t="shared" si="14"/>
        <v>-5128.5300000000007</v>
      </c>
      <c r="Y74" s="3"/>
      <c r="Z74" s="7">
        <f t="shared" si="15"/>
        <v>-0.31082000000000004</v>
      </c>
    </row>
    <row r="75" spans="1:26" s="69" customFormat="1" ht="15" customHeight="1" outlineLevel="1" collapsed="1" x14ac:dyDescent="0.25">
      <c r="A75" s="26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4009.9800000000005</v>
      </c>
      <c r="E75" s="2"/>
      <c r="F75" s="6">
        <f t="shared" si="8"/>
        <v>1.8143434200019196E-2</v>
      </c>
      <c r="G75" s="2"/>
      <c r="H75" s="2">
        <f>SUM(OSRRefH22_13x_0)</f>
        <v>11396</v>
      </c>
      <c r="I75" s="2"/>
      <c r="J75" s="6">
        <f t="shared" si="9"/>
        <v>4.6897119341563785E-2</v>
      </c>
      <c r="K75" s="2"/>
      <c r="L75" s="2">
        <f t="shared" si="10"/>
        <v>-7386.0199999999995</v>
      </c>
      <c r="M75" s="2"/>
      <c r="N75" s="6">
        <f t="shared" si="11"/>
        <v>-0.64812390312390311</v>
      </c>
      <c r="O75" s="14"/>
      <c r="P75" s="2">
        <f>SUM(OSRRefP22_13x_0)</f>
        <v>81939.42</v>
      </c>
      <c r="Q75" s="2"/>
      <c r="R75" s="6">
        <f t="shared" si="12"/>
        <v>2.0875016627970294E-2</v>
      </c>
      <c r="S75" s="2"/>
      <c r="T75" s="2">
        <f>SUM(OSRRefT22_13x_0)</f>
        <v>125356</v>
      </c>
      <c r="U75" s="2"/>
      <c r="V75" s="6">
        <f t="shared" si="13"/>
        <v>3.5172839506172837E-2</v>
      </c>
      <c r="W75" s="2"/>
      <c r="X75" s="2">
        <f t="shared" si="14"/>
        <v>-43416.58</v>
      </c>
      <c r="Y75" s="2"/>
      <c r="Z75" s="6">
        <f t="shared" si="15"/>
        <v>-0.34634624589170043</v>
      </c>
    </row>
    <row r="76" spans="1:26" s="70" customFormat="1" ht="15" hidden="1" customHeight="1" outlineLevel="2" x14ac:dyDescent="0.25">
      <c r="A76" s="25"/>
      <c r="B76" s="12" t="str">
        <f>CONCATENATE("          ","6234"," - ","EXPENDABLE SUPPLIES &amp; EQUIPMEN")</f>
        <v xml:space="preserve">          6234 - EXPENDABLE SUPPLIES &amp; EQUIPMEN</v>
      </c>
      <c r="C76" s="12"/>
      <c r="D76" s="8"/>
      <c r="E76" s="3"/>
      <c r="F76" s="7">
        <f t="shared" si="8"/>
        <v>0</v>
      </c>
      <c r="G76" s="3"/>
      <c r="H76" s="8"/>
      <c r="I76" s="3"/>
      <c r="J76" s="7">
        <f t="shared" si="9"/>
        <v>0</v>
      </c>
      <c r="K76" s="3"/>
      <c r="L76" s="8">
        <f t="shared" si="10"/>
        <v>0</v>
      </c>
      <c r="M76" s="3"/>
      <c r="N76" s="7">
        <f t="shared" si="11"/>
        <v>0</v>
      </c>
      <c r="O76" s="12"/>
      <c r="P76" s="8">
        <v>21.98</v>
      </c>
      <c r="Q76" s="3"/>
      <c r="R76" s="7">
        <f t="shared" si="12"/>
        <v>5.599659669091959E-6</v>
      </c>
      <c r="S76" s="3"/>
      <c r="T76" s="8"/>
      <c r="U76" s="3"/>
      <c r="V76" s="7">
        <f t="shared" si="13"/>
        <v>0</v>
      </c>
      <c r="W76" s="3"/>
      <c r="X76" s="8">
        <f t="shared" si="14"/>
        <v>21.98</v>
      </c>
      <c r="Y76" s="3"/>
      <c r="Z76" s="7">
        <f t="shared" si="15"/>
        <v>0</v>
      </c>
    </row>
    <row r="77" spans="1:26" s="70" customFormat="1" ht="15" hidden="1" customHeight="1" outlineLevel="2" x14ac:dyDescent="0.25">
      <c r="A77" s="25"/>
      <c r="B77" s="12" t="str">
        <f>CONCATENATE("          ","6237"," - ","JANITORIAL SUPPLIES")</f>
        <v xml:space="preserve">          6237 - JANITORIAL SUPPLIES</v>
      </c>
      <c r="C77" s="12"/>
      <c r="D77" s="8">
        <v>2237.0500000000002</v>
      </c>
      <c r="E77" s="3"/>
      <c r="F77" s="7">
        <f t="shared" si="8"/>
        <v>1.0121688755842408E-2</v>
      </c>
      <c r="G77" s="3"/>
      <c r="H77" s="8">
        <v>4000</v>
      </c>
      <c r="I77" s="3"/>
      <c r="J77" s="7">
        <f t="shared" si="9"/>
        <v>1.646090534979424E-2</v>
      </c>
      <c r="K77" s="3"/>
      <c r="L77" s="8">
        <f t="shared" si="10"/>
        <v>-1762.9499999999998</v>
      </c>
      <c r="M77" s="3"/>
      <c r="N77" s="7">
        <f t="shared" si="11"/>
        <v>-0.44073749999999995</v>
      </c>
      <c r="O77" s="12"/>
      <c r="P77" s="8">
        <v>16652.55</v>
      </c>
      <c r="Q77" s="3"/>
      <c r="R77" s="7">
        <f t="shared" si="12"/>
        <v>4.2424300556204416E-3</v>
      </c>
      <c r="S77" s="3"/>
      <c r="T77" s="8">
        <v>44000</v>
      </c>
      <c r="U77" s="3"/>
      <c r="V77" s="7">
        <f t="shared" si="13"/>
        <v>1.2345679012345678E-2</v>
      </c>
      <c r="W77" s="3"/>
      <c r="X77" s="8">
        <f t="shared" si="14"/>
        <v>-27347.45</v>
      </c>
      <c r="Y77" s="3"/>
      <c r="Z77" s="7">
        <f t="shared" si="15"/>
        <v>-0.62153295454545454</v>
      </c>
    </row>
    <row r="78" spans="1:26" s="70" customFormat="1" ht="15" hidden="1" customHeight="1" outlineLevel="2" x14ac:dyDescent="0.25">
      <c r="A78" s="25"/>
      <c r="B78" s="12" t="str">
        <f>CONCATENATE("          ","6239"," - ","KITCHEN SUPPLIES")</f>
        <v xml:space="preserve">          6239 - KITCHEN SUPPLIES</v>
      </c>
      <c r="C78" s="12"/>
      <c r="D78" s="8">
        <v>300.13</v>
      </c>
      <c r="E78" s="3"/>
      <c r="F78" s="7">
        <f t="shared" si="8"/>
        <v>1.3579591186120032E-3</v>
      </c>
      <c r="G78" s="3"/>
      <c r="H78" s="8">
        <v>1500</v>
      </c>
      <c r="I78" s="3"/>
      <c r="J78" s="7">
        <f t="shared" si="9"/>
        <v>6.1728395061728392E-3</v>
      </c>
      <c r="K78" s="3"/>
      <c r="L78" s="8">
        <f t="shared" si="10"/>
        <v>-1199.8699999999999</v>
      </c>
      <c r="M78" s="3"/>
      <c r="N78" s="7">
        <f t="shared" si="11"/>
        <v>-0.79991333333333325</v>
      </c>
      <c r="O78" s="12"/>
      <c r="P78" s="8">
        <v>13576.88</v>
      </c>
      <c r="Q78" s="3"/>
      <c r="R78" s="7">
        <f t="shared" si="12"/>
        <v>3.4588674871747602E-3</v>
      </c>
      <c r="S78" s="3"/>
      <c r="T78" s="8">
        <v>16500</v>
      </c>
      <c r="U78" s="3"/>
      <c r="V78" s="7">
        <f t="shared" si="13"/>
        <v>4.6296296296296294E-3</v>
      </c>
      <c r="W78" s="3"/>
      <c r="X78" s="8">
        <f t="shared" si="14"/>
        <v>-2923.1200000000008</v>
      </c>
      <c r="Y78" s="3"/>
      <c r="Z78" s="7">
        <f t="shared" si="15"/>
        <v>-0.17715878787878792</v>
      </c>
    </row>
    <row r="79" spans="1:26" s="70" customFormat="1" ht="15" hidden="1" customHeight="1" outlineLevel="2" x14ac:dyDescent="0.25">
      <c r="A79" s="25"/>
      <c r="B79" s="12" t="str">
        <f>CONCATENATE("          ","6241"," - ","OFFICE EXPENSE")</f>
        <v xml:space="preserve">          6241 - OFFICE EXPENSE</v>
      </c>
      <c r="C79" s="12"/>
      <c r="D79" s="8">
        <v>84.39</v>
      </c>
      <c r="E79" s="3"/>
      <c r="F79" s="7">
        <f t="shared" si="8"/>
        <v>3.8182844107442424E-4</v>
      </c>
      <c r="G79" s="3"/>
      <c r="H79" s="8">
        <v>500</v>
      </c>
      <c r="I79" s="3"/>
      <c r="J79" s="7">
        <f t="shared" si="9"/>
        <v>2.05761316872428E-3</v>
      </c>
      <c r="K79" s="3"/>
      <c r="L79" s="8">
        <f t="shared" si="10"/>
        <v>-415.61</v>
      </c>
      <c r="M79" s="3"/>
      <c r="N79" s="7">
        <f t="shared" si="11"/>
        <v>-0.83122000000000007</v>
      </c>
      <c r="O79" s="12"/>
      <c r="P79" s="8">
        <v>4338.8</v>
      </c>
      <c r="Q79" s="3"/>
      <c r="R79" s="7">
        <f t="shared" si="12"/>
        <v>1.1053595710762598E-3</v>
      </c>
      <c r="S79" s="3"/>
      <c r="T79" s="8">
        <v>5500</v>
      </c>
      <c r="U79" s="3"/>
      <c r="V79" s="7">
        <f t="shared" si="13"/>
        <v>1.5432098765432098E-3</v>
      </c>
      <c r="W79" s="3"/>
      <c r="X79" s="8">
        <f t="shared" si="14"/>
        <v>-1161.1999999999998</v>
      </c>
      <c r="Y79" s="3"/>
      <c r="Z79" s="7">
        <f t="shared" si="15"/>
        <v>-0.21112727272727269</v>
      </c>
    </row>
    <row r="80" spans="1:26" s="70" customFormat="1" ht="15" hidden="1" customHeight="1" outlineLevel="2" x14ac:dyDescent="0.25">
      <c r="A80" s="25"/>
      <c r="B80" s="12" t="str">
        <f>CONCATENATE("          ","6243"," - ","PAPER SUPPLIES")</f>
        <v xml:space="preserve">          6243 - PAPER SUPPLIES</v>
      </c>
      <c r="C80" s="12"/>
      <c r="D80" s="8">
        <v>1388.41</v>
      </c>
      <c r="E80" s="3"/>
      <c r="F80" s="7">
        <f t="shared" si="8"/>
        <v>6.2819578844903589E-3</v>
      </c>
      <c r="G80" s="3"/>
      <c r="H80" s="8">
        <v>5000</v>
      </c>
      <c r="I80" s="3"/>
      <c r="J80" s="7">
        <f t="shared" si="9"/>
        <v>2.0576131687242798E-2</v>
      </c>
      <c r="K80" s="3"/>
      <c r="L80" s="8">
        <f t="shared" si="10"/>
        <v>-3611.59</v>
      </c>
      <c r="M80" s="3"/>
      <c r="N80" s="7">
        <f t="shared" si="11"/>
        <v>-0.72231800000000002</v>
      </c>
      <c r="O80" s="12"/>
      <c r="P80" s="8">
        <v>44897.39</v>
      </c>
      <c r="Q80" s="3"/>
      <c r="R80" s="7">
        <f t="shared" si="12"/>
        <v>1.1438130301660266E-2</v>
      </c>
      <c r="S80" s="3"/>
      <c r="T80" s="8">
        <v>55000</v>
      </c>
      <c r="U80" s="3"/>
      <c r="V80" s="7">
        <f t="shared" si="13"/>
        <v>1.5432098765432098E-2</v>
      </c>
      <c r="W80" s="3"/>
      <c r="X80" s="8">
        <f t="shared" si="14"/>
        <v>-10102.61</v>
      </c>
      <c r="Y80" s="3"/>
      <c r="Z80" s="7">
        <f t="shared" si="15"/>
        <v>-0.1836838181818182</v>
      </c>
    </row>
    <row r="81" spans="1:26" s="70" customFormat="1" ht="15" hidden="1" customHeight="1" outlineLevel="2" x14ac:dyDescent="0.25">
      <c r="A81" s="25"/>
      <c r="B81" s="12" t="str">
        <f>CONCATENATE("          ","6244"," - ","SAFETY SUPPLY EXPENSE")</f>
        <v xml:space="preserve">          6244 - SAFETY SUPPLY EXPENSE</v>
      </c>
      <c r="C81" s="12"/>
      <c r="D81" s="8"/>
      <c r="E81" s="3"/>
      <c r="F81" s="7">
        <f t="shared" si="8"/>
        <v>0</v>
      </c>
      <c r="G81" s="3"/>
      <c r="H81" s="8">
        <v>200</v>
      </c>
      <c r="I81" s="3"/>
      <c r="J81" s="7">
        <f t="shared" si="9"/>
        <v>8.2304526748971192E-4</v>
      </c>
      <c r="K81" s="3"/>
      <c r="L81" s="8">
        <f t="shared" si="10"/>
        <v>-200</v>
      </c>
      <c r="M81" s="3"/>
      <c r="N81" s="7">
        <f t="shared" si="11"/>
        <v>-1</v>
      </c>
      <c r="O81" s="12"/>
      <c r="P81" s="8"/>
      <c r="Q81" s="3"/>
      <c r="R81" s="7">
        <f t="shared" si="12"/>
        <v>0</v>
      </c>
      <c r="S81" s="3"/>
      <c r="T81" s="8">
        <v>2200</v>
      </c>
      <c r="U81" s="3"/>
      <c r="V81" s="7">
        <f t="shared" si="13"/>
        <v>6.1728395061728394E-4</v>
      </c>
      <c r="W81" s="3"/>
      <c r="X81" s="8">
        <f t="shared" si="14"/>
        <v>-2200</v>
      </c>
      <c r="Y81" s="3"/>
      <c r="Z81" s="7">
        <f t="shared" si="15"/>
        <v>-1</v>
      </c>
    </row>
    <row r="82" spans="1:26" s="70" customFormat="1" ht="15" hidden="1" customHeight="1" outlineLevel="2" x14ac:dyDescent="0.25">
      <c r="A82" s="25"/>
      <c r="B82" s="12" t="str">
        <f>CONCATENATE("          ","6247"," - ","STORE SUPPLIES")</f>
        <v xml:space="preserve">          6247 - STORE SUPPLIES</v>
      </c>
      <c r="C82" s="12"/>
      <c r="D82" s="8"/>
      <c r="E82" s="3"/>
      <c r="F82" s="7">
        <f t="shared" si="8"/>
        <v>0</v>
      </c>
      <c r="G82" s="3"/>
      <c r="H82" s="8"/>
      <c r="I82" s="3"/>
      <c r="J82" s="7">
        <f t="shared" si="9"/>
        <v>0</v>
      </c>
      <c r="K82" s="3"/>
      <c r="L82" s="8">
        <f t="shared" si="10"/>
        <v>0</v>
      </c>
      <c r="M82" s="3"/>
      <c r="N82" s="7">
        <f t="shared" si="11"/>
        <v>0</v>
      </c>
      <c r="O82" s="12"/>
      <c r="P82" s="8">
        <v>581.41999999999996</v>
      </c>
      <c r="Q82" s="3"/>
      <c r="R82" s="7">
        <f t="shared" si="12"/>
        <v>1.4812348156521596E-4</v>
      </c>
      <c r="S82" s="3"/>
      <c r="T82" s="8"/>
      <c r="U82" s="3"/>
      <c r="V82" s="7">
        <f t="shared" si="13"/>
        <v>0</v>
      </c>
      <c r="W82" s="3"/>
      <c r="X82" s="8">
        <f t="shared" si="14"/>
        <v>581.41999999999996</v>
      </c>
      <c r="Y82" s="3"/>
      <c r="Z82" s="7">
        <f t="shared" si="15"/>
        <v>0</v>
      </c>
    </row>
    <row r="83" spans="1:26" s="70" customFormat="1" ht="15" hidden="1" customHeight="1" outlineLevel="2" x14ac:dyDescent="0.25">
      <c r="A83" s="25"/>
      <c r="B83" s="12" t="str">
        <f>CONCATENATE("          ","6248"," - ","UNIFORMS")</f>
        <v xml:space="preserve">          6248 - UNIFORMS</v>
      </c>
      <c r="C83" s="12"/>
      <c r="D83" s="8"/>
      <c r="E83" s="3"/>
      <c r="F83" s="7">
        <f t="shared" si="8"/>
        <v>0</v>
      </c>
      <c r="G83" s="3"/>
      <c r="H83" s="8">
        <v>196</v>
      </c>
      <c r="I83" s="3"/>
      <c r="J83" s="7">
        <f t="shared" si="9"/>
        <v>8.0658436213991772E-4</v>
      </c>
      <c r="K83" s="3"/>
      <c r="L83" s="8">
        <f t="shared" si="10"/>
        <v>-196</v>
      </c>
      <c r="M83" s="3"/>
      <c r="N83" s="7">
        <f t="shared" si="11"/>
        <v>-1</v>
      </c>
      <c r="O83" s="12"/>
      <c r="P83" s="8">
        <v>1870.4</v>
      </c>
      <c r="Q83" s="3"/>
      <c r="R83" s="7">
        <f t="shared" si="12"/>
        <v>4.7650607120425844E-4</v>
      </c>
      <c r="S83" s="3"/>
      <c r="T83" s="8">
        <v>2156</v>
      </c>
      <c r="U83" s="3"/>
      <c r="V83" s="7">
        <f t="shared" si="13"/>
        <v>6.0493827160493826E-4</v>
      </c>
      <c r="W83" s="3"/>
      <c r="X83" s="8">
        <f t="shared" si="14"/>
        <v>-285.59999999999991</v>
      </c>
      <c r="Y83" s="3"/>
      <c r="Z83" s="7">
        <f t="shared" si="15"/>
        <v>-0.13246753246753243</v>
      </c>
    </row>
    <row r="84" spans="1:26" s="69" customFormat="1" ht="15" customHeight="1" outlineLevel="1" collapsed="1" x14ac:dyDescent="0.25">
      <c r="A84" s="26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SUM(OSRRefD22_14x_0)</f>
        <v>164</v>
      </c>
      <c r="E84" s="2"/>
      <c r="F84" s="6">
        <f t="shared" si="8"/>
        <v>7.42029438751103E-4</v>
      </c>
      <c r="G84" s="2"/>
      <c r="H84" s="2">
        <f>SUM(OSRRefH22_14x_0)</f>
        <v>175</v>
      </c>
      <c r="I84" s="2"/>
      <c r="J84" s="6">
        <f t="shared" si="9"/>
        <v>7.2016460905349798E-4</v>
      </c>
      <c r="K84" s="2"/>
      <c r="L84" s="2">
        <f t="shared" si="10"/>
        <v>-11</v>
      </c>
      <c r="M84" s="2"/>
      <c r="N84" s="6">
        <f t="shared" si="11"/>
        <v>-6.2857142857142861E-2</v>
      </c>
      <c r="O84" s="14"/>
      <c r="P84" s="2">
        <f>SUM(OSRRefP22_14x_0)</f>
        <v>2179</v>
      </c>
      <c r="Q84" s="2"/>
      <c r="R84" s="6">
        <f t="shared" si="12"/>
        <v>5.5512549676757863E-4</v>
      </c>
      <c r="S84" s="2"/>
      <c r="T84" s="2">
        <f>SUM(OSRRefT22_14x_0)</f>
        <v>1925</v>
      </c>
      <c r="U84" s="2"/>
      <c r="V84" s="6">
        <f t="shared" si="13"/>
        <v>5.4012345679012341E-4</v>
      </c>
      <c r="W84" s="2"/>
      <c r="X84" s="2">
        <f t="shared" si="14"/>
        <v>254</v>
      </c>
      <c r="Y84" s="2"/>
      <c r="Z84" s="6">
        <f t="shared" si="15"/>
        <v>0.13194805194805195</v>
      </c>
    </row>
    <row r="85" spans="1:26" s="70" customFormat="1" ht="15" hidden="1" customHeight="1" outlineLevel="2" x14ac:dyDescent="0.25">
      <c r="A85" s="25"/>
      <c r="B85" s="12" t="str">
        <f>CONCATENATE("          ","6309"," - ","TELEPHONE")</f>
        <v xml:space="preserve">          6309 - TELEPHONE</v>
      </c>
      <c r="C85" s="12"/>
      <c r="D85" s="8">
        <v>164</v>
      </c>
      <c r="E85" s="3"/>
      <c r="F85" s="7">
        <f t="shared" si="8"/>
        <v>7.42029438751103E-4</v>
      </c>
      <c r="G85" s="3"/>
      <c r="H85" s="8">
        <v>175</v>
      </c>
      <c r="I85" s="3"/>
      <c r="J85" s="7">
        <f t="shared" si="9"/>
        <v>7.2016460905349798E-4</v>
      </c>
      <c r="K85" s="3"/>
      <c r="L85" s="8">
        <f t="shared" si="10"/>
        <v>-11</v>
      </c>
      <c r="M85" s="3"/>
      <c r="N85" s="7">
        <f t="shared" si="11"/>
        <v>-6.2857142857142861E-2</v>
      </c>
      <c r="O85" s="12"/>
      <c r="P85" s="8">
        <v>2179</v>
      </c>
      <c r="Q85" s="3"/>
      <c r="R85" s="7">
        <f t="shared" si="12"/>
        <v>5.5512549676757863E-4</v>
      </c>
      <c r="S85" s="3"/>
      <c r="T85" s="8">
        <v>1925</v>
      </c>
      <c r="U85" s="3"/>
      <c r="V85" s="7">
        <f t="shared" si="13"/>
        <v>5.4012345679012341E-4</v>
      </c>
      <c r="W85" s="3"/>
      <c r="X85" s="8">
        <f t="shared" si="14"/>
        <v>254</v>
      </c>
      <c r="Y85" s="3"/>
      <c r="Z85" s="7">
        <f t="shared" si="15"/>
        <v>0.13194805194805195</v>
      </c>
    </row>
    <row r="86" spans="1:26" s="69" customFormat="1" ht="15" customHeight="1" outlineLevel="1" collapsed="1" x14ac:dyDescent="0.25">
      <c r="A86" s="26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SUM(OSRRefD22_15x_0)</f>
        <v>0</v>
      </c>
      <c r="E86" s="2"/>
      <c r="F86" s="6">
        <f t="shared" si="8"/>
        <v>0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SUM(OSRRefP22_15x_0)</f>
        <v>312</v>
      </c>
      <c r="Q86" s="2"/>
      <c r="R86" s="6">
        <f t="shared" si="12"/>
        <v>7.9485614957083318E-5</v>
      </c>
      <c r="S86" s="2"/>
      <c r="T86" s="2">
        <f>SUM(OSRRefT22_15x_0)</f>
        <v>1000</v>
      </c>
      <c r="U86" s="2"/>
      <c r="V86" s="6">
        <f t="shared" si="13"/>
        <v>2.8058361391694727E-4</v>
      </c>
      <c r="W86" s="2"/>
      <c r="X86" s="2">
        <f t="shared" si="14"/>
        <v>-688</v>
      </c>
      <c r="Y86" s="2"/>
      <c r="Z86" s="6">
        <f t="shared" si="15"/>
        <v>-0.68799999999999994</v>
      </c>
    </row>
    <row r="87" spans="1:26" s="70" customFormat="1" ht="15" hidden="1" customHeight="1" outlineLevel="2" x14ac:dyDescent="0.25">
      <c r="A87" s="25"/>
      <c r="B87" s="12" t="str">
        <f>CONCATENATE("          ","6376"," - ","TRAINING")</f>
        <v xml:space="preserve">          6376 - TRAINING</v>
      </c>
      <c r="C87" s="12"/>
      <c r="D87" s="8"/>
      <c r="E87" s="3"/>
      <c r="F87" s="7">
        <f t="shared" si="8"/>
        <v>0</v>
      </c>
      <c r="G87" s="3"/>
      <c r="H87" s="8"/>
      <c r="I87" s="3"/>
      <c r="J87" s="7">
        <f t="shared" si="9"/>
        <v>0</v>
      </c>
      <c r="K87" s="3"/>
      <c r="L87" s="8">
        <f t="shared" si="10"/>
        <v>0</v>
      </c>
      <c r="M87" s="3"/>
      <c r="N87" s="7">
        <f t="shared" si="11"/>
        <v>0</v>
      </c>
      <c r="O87" s="12"/>
      <c r="P87" s="8">
        <v>312</v>
      </c>
      <c r="Q87" s="3"/>
      <c r="R87" s="7">
        <f t="shared" si="12"/>
        <v>7.9485614957083318E-5</v>
      </c>
      <c r="S87" s="3"/>
      <c r="T87" s="8">
        <v>1000</v>
      </c>
      <c r="U87" s="3"/>
      <c r="V87" s="7">
        <f t="shared" si="13"/>
        <v>2.8058361391694727E-4</v>
      </c>
      <c r="W87" s="3"/>
      <c r="X87" s="8">
        <f t="shared" si="14"/>
        <v>-688</v>
      </c>
      <c r="Y87" s="3"/>
      <c r="Z87" s="7">
        <f t="shared" si="15"/>
        <v>-0.68799999999999994</v>
      </c>
    </row>
    <row r="88" spans="1:26" s="65" customFormat="1" ht="15" customHeight="1" x14ac:dyDescent="0.25">
      <c r="A88" s="35"/>
      <c r="B88" s="35"/>
      <c r="C88" s="35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35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63" customFormat="1" ht="15" customHeight="1" x14ac:dyDescent="0.25">
      <c r="A89" s="11"/>
      <c r="B89" s="27" t="s">
        <v>291</v>
      </c>
      <c r="C89" s="11"/>
      <c r="D89" s="5">
        <f>SUM(0)</f>
        <v>0</v>
      </c>
      <c r="E89" s="5"/>
      <c r="F89" s="13">
        <f>IF(D$12=0,0,D89/D$12)</f>
        <v>0</v>
      </c>
      <c r="G89" s="5"/>
      <c r="H89" s="5">
        <f>SUM(0)</f>
        <v>0</v>
      </c>
      <c r="I89" s="5"/>
      <c r="J89" s="13">
        <f>IF(H$12=0,0,H89/H$12)</f>
        <v>0</v>
      </c>
      <c r="K89" s="5"/>
      <c r="L89" s="5">
        <f>+D89-H89</f>
        <v>0</v>
      </c>
      <c r="M89" s="5"/>
      <c r="N89" s="13">
        <f>IF(H89=0,0,L89/H89)</f>
        <v>0</v>
      </c>
      <c r="O89" s="11"/>
      <c r="P89" s="5">
        <f>SUM(0)</f>
        <v>0</v>
      </c>
      <c r="Q89" s="5"/>
      <c r="R89" s="13">
        <f>IF(P$12=0,0,P89/P$12)</f>
        <v>0</v>
      </c>
      <c r="S89" s="5"/>
      <c r="T89" s="5">
        <f>SUM(0)</f>
        <v>0</v>
      </c>
      <c r="U89" s="5"/>
      <c r="V89" s="13">
        <f>IF(T$12=0,0,T89/T$12)</f>
        <v>0</v>
      </c>
      <c r="W89" s="5"/>
      <c r="X89" s="5">
        <f>+P89-T89</f>
        <v>0</v>
      </c>
      <c r="Y89" s="5"/>
      <c r="Z89" s="13">
        <f>IF(T89=0,0,X89/T89)</f>
        <v>0</v>
      </c>
    </row>
    <row r="90" spans="1:26" ht="15" customHeight="1" x14ac:dyDescent="0.25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25">
      <c r="A91" s="11"/>
      <c r="B91" s="28" t="s">
        <v>292</v>
      </c>
      <c r="C91" s="28"/>
      <c r="D91" s="22">
        <f>+D23-D25+D89</f>
        <v>41438.98000000001</v>
      </c>
      <c r="E91" s="15"/>
      <c r="F91" s="21">
        <f>IF(D$12=0,0,D91/D$12)</f>
        <v>0.18749355531596457</v>
      </c>
      <c r="G91" s="15"/>
      <c r="H91" s="22">
        <f>+H23-H25+H89</f>
        <v>29786.584103076981</v>
      </c>
      <c r="I91" s="15"/>
      <c r="J91" s="21">
        <f>IF(H$12=0,0,H91/H$12)</f>
        <v>0.12257853540360897</v>
      </c>
      <c r="K91" s="16"/>
      <c r="L91" s="22">
        <f>+D91-H91</f>
        <v>11652.39589692303</v>
      </c>
      <c r="M91" s="16"/>
      <c r="N91" s="21">
        <f>IF(H91=0,0,L91/H91)</f>
        <v>0.39119611220271905</v>
      </c>
      <c r="O91" s="27"/>
      <c r="P91" s="22">
        <f>+P23-P25+P89</f>
        <v>1378916.0699999998</v>
      </c>
      <c r="Q91" s="15"/>
      <c r="R91" s="21">
        <f>IF(P$12=0,0,P91/P$12)</f>
        <v>0.35129484550690554</v>
      </c>
      <c r="S91" s="15"/>
      <c r="T91" s="22">
        <f>+T23-T25+T89</f>
        <v>744440.45823692367</v>
      </c>
      <c r="U91" s="15"/>
      <c r="V91" s="21">
        <f>IF(T$12=0,0,T91/T$12)</f>
        <v>0.20887779411810428</v>
      </c>
      <c r="W91" s="16"/>
      <c r="X91" s="22">
        <f>+P91-T91</f>
        <v>634475.61176307616</v>
      </c>
      <c r="Y91" s="16"/>
      <c r="Z91" s="21">
        <f>IF(T91=0,0,X91/T91)</f>
        <v>0.85228523617015672</v>
      </c>
    </row>
    <row r="92" spans="1:26" ht="15" customHeight="1" x14ac:dyDescent="0.25">
      <c r="A92" s="10"/>
      <c r="B92" s="11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25">
      <c r="A93" s="49"/>
      <c r="B93" s="11" t="s">
        <v>293</v>
      </c>
      <c r="C93" s="11"/>
      <c r="D93" s="5">
        <v>21667.58</v>
      </c>
      <c r="E93" s="5"/>
      <c r="F93" s="13">
        <f>IF(D$12=0,0,D93/D$12)</f>
        <v>9.8036476990820881E-2</v>
      </c>
      <c r="G93" s="5"/>
      <c r="H93" s="5">
        <v>33270</v>
      </c>
      <c r="I93" s="5"/>
      <c r="J93" s="13">
        <f>IF(H$12=0,0,H93/H$12)</f>
        <v>0.13691358024691358</v>
      </c>
      <c r="K93" s="5"/>
      <c r="L93" s="5">
        <f>+D93-H93</f>
        <v>-11602.419999999998</v>
      </c>
      <c r="M93" s="5"/>
      <c r="N93" s="13">
        <f>IF(H93=0,0,L93/H93)</f>
        <v>-0.34873519687406068</v>
      </c>
      <c r="O93" s="11"/>
      <c r="P93" s="5">
        <v>441296.34</v>
      </c>
      <c r="Q93" s="5"/>
      <c r="R93" s="13">
        <f>IF(P$12=0,0,P93/P$12)</f>
        <v>0.11242535565131451</v>
      </c>
      <c r="S93" s="5"/>
      <c r="T93" s="5">
        <v>441801</v>
      </c>
      <c r="U93" s="5"/>
      <c r="V93" s="13">
        <f>IF(T$12=0,0,T93/T$12)</f>
        <v>0.12396212121212122</v>
      </c>
      <c r="W93" s="5"/>
      <c r="X93" s="5">
        <f>+P93-T93</f>
        <v>-504.65999999997439</v>
      </c>
      <c r="Y93" s="5"/>
      <c r="Z93" s="13">
        <f>IF(T93=0,0,X93/T93)</f>
        <v>-1.1422789898618935E-3</v>
      </c>
    </row>
    <row r="94" spans="1:26" ht="15" customHeight="1" x14ac:dyDescent="0.25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25">
      <c r="A95" s="11"/>
      <c r="B95" s="28" t="s">
        <v>294</v>
      </c>
      <c r="C95" s="28"/>
      <c r="D95" s="34">
        <f>+D91-D93</f>
        <v>19771.400000000009</v>
      </c>
      <c r="E95" s="15"/>
      <c r="F95" s="32">
        <f>IF(D$12=0,0,D95/D$12)</f>
        <v>8.9457078325143685E-2</v>
      </c>
      <c r="G95" s="15"/>
      <c r="H95" s="34">
        <f>+H91-H93</f>
        <v>-3483.4158969230193</v>
      </c>
      <c r="I95" s="15"/>
      <c r="J95" s="32">
        <f>IF(H$12=0,0,H95/H$12)</f>
        <v>-1.4335044843304607E-2</v>
      </c>
      <c r="K95" s="16"/>
      <c r="L95" s="34">
        <f>D95-H95</f>
        <v>23254.815896923028</v>
      </c>
      <c r="M95" s="16"/>
      <c r="N95" s="32">
        <f>IF(H95=0,0,L95/H95)</f>
        <v>-6.6758654679920753</v>
      </c>
      <c r="O95" s="27"/>
      <c r="P95" s="34">
        <f>+P91-P93</f>
        <v>937619.72999999975</v>
      </c>
      <c r="Q95" s="15"/>
      <c r="R95" s="32">
        <f>IF(P$12=0,0,P95/P$12)</f>
        <v>0.23886948985559101</v>
      </c>
      <c r="S95" s="15"/>
      <c r="T95" s="34">
        <f>+T91-T93</f>
        <v>302639.45823692367</v>
      </c>
      <c r="U95" s="15"/>
      <c r="V95" s="32">
        <f>IF(T$12=0,0,T95/T$12)</f>
        <v>8.4915672905983078E-2</v>
      </c>
      <c r="W95" s="16"/>
      <c r="X95" s="34">
        <f>P95-T95</f>
        <v>634980.27176307607</v>
      </c>
      <c r="Y95" s="16"/>
      <c r="Z95" s="32">
        <f>IF(T95=0,0,X95/T95)</f>
        <v>2.0981410535898357</v>
      </c>
    </row>
    <row r="96" spans="1:26" ht="15" customHeight="1" x14ac:dyDescent="0.25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ht="15" customHeight="1" x14ac:dyDescent="0.25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25">
      <c r="A98" s="11"/>
      <c r="B98" s="28" t="s">
        <v>297</v>
      </c>
      <c r="C98" s="28"/>
      <c r="D98" s="30">
        <f>SUM(D95:D97)</f>
        <v>19771.400000000009</v>
      </c>
      <c r="E98" s="15"/>
      <c r="F98" s="33">
        <f>IF(D$12=0,0,D98/D$12)</f>
        <v>8.9457078325143685E-2</v>
      </c>
      <c r="G98" s="15"/>
      <c r="H98" s="30">
        <f>SUM(H95:H97)</f>
        <v>-3483.4158969230193</v>
      </c>
      <c r="I98" s="15"/>
      <c r="J98" s="33">
        <f>IF(H$12=0,0,H98/H$12)</f>
        <v>-1.4335044843304607E-2</v>
      </c>
      <c r="K98" s="16"/>
      <c r="L98" s="30">
        <f>+D98-H98</f>
        <v>23254.815896923028</v>
      </c>
      <c r="M98" s="16"/>
      <c r="N98" s="33">
        <f>IF(H98=0,0,L98/H98)</f>
        <v>-6.6758654679920753</v>
      </c>
      <c r="O98" s="27"/>
      <c r="P98" s="30">
        <f>SUM(P95:P97)</f>
        <v>937619.72999999975</v>
      </c>
      <c r="Q98" s="15"/>
      <c r="R98" s="33">
        <f>IF(P$12=0,0,P98/P$12)</f>
        <v>0.23886948985559101</v>
      </c>
      <c r="S98" s="15"/>
      <c r="T98" s="30">
        <f>SUM(T95:T97)</f>
        <v>302639.45823692367</v>
      </c>
      <c r="U98" s="15"/>
      <c r="V98" s="33">
        <f>IF(T$12=0,0,T98/T$12)</f>
        <v>8.4915672905983078E-2</v>
      </c>
      <c r="W98" s="16"/>
      <c r="X98" s="30">
        <f>+P98-T98</f>
        <v>634980.27176307607</v>
      </c>
      <c r="Y98" s="16"/>
      <c r="Z98" s="33">
        <f>IF(T98=0,0,X98/T98)</f>
        <v>2.0981410535898357</v>
      </c>
    </row>
    <row r="99" spans="1:26" ht="15" customHeight="1" x14ac:dyDescent="0.25">
      <c r="A99" s="10"/>
      <c r="C99" s="10"/>
      <c r="D99" s="18"/>
      <c r="E99" s="18"/>
      <c r="G99" s="18"/>
      <c r="H99" s="18"/>
      <c r="I99" s="18"/>
      <c r="J99" s="40"/>
      <c r="K99" s="18"/>
      <c r="L99" s="18"/>
      <c r="M99" s="18"/>
      <c r="P99" s="18"/>
      <c r="Q99" s="18"/>
      <c r="R99" s="40"/>
      <c r="S99" s="18"/>
      <c r="T99" s="18"/>
      <c r="U99" s="18"/>
      <c r="V99" s="40"/>
      <c r="W99" s="18"/>
      <c r="X99" s="18"/>
    </row>
    <row r="100" spans="1:26" ht="15" customHeight="1" x14ac:dyDescent="0.25">
      <c r="A100" s="10"/>
      <c r="B100" s="54">
        <v>44727.874527581022</v>
      </c>
      <c r="D100" s="18"/>
      <c r="E100" s="18"/>
      <c r="G100" s="18"/>
      <c r="H100" s="18"/>
      <c r="I100" s="18"/>
      <c r="J100" s="40"/>
      <c r="K100" s="18"/>
      <c r="L100" s="18"/>
      <c r="M100" s="18"/>
      <c r="P100" s="18"/>
      <c r="Q100" s="18"/>
      <c r="R100" s="40"/>
      <c r="S100" s="18"/>
      <c r="T100" s="18"/>
      <c r="U100" s="18"/>
      <c r="V100" s="40"/>
      <c r="W100" s="18"/>
      <c r="X100" s="18"/>
    </row>
    <row r="101" spans="1:26" ht="15" customHeight="1" x14ac:dyDescent="0.25">
      <c r="A101" s="10"/>
      <c r="B101" s="50" t="s">
        <v>298</v>
      </c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A102" s="10"/>
      <c r="B102" s="58"/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06BCB-9EE3-B3D7-51BE-24929F79C68B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","435"," - ","Ground Floor Coffee House")</f>
        <v>Department 435 - Ground Floor Coffee House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1398.62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1398.62</v>
      </c>
      <c r="M12" s="5"/>
      <c r="N12" s="13">
        <f>IF(H12=0,0,L12/H12)</f>
        <v>0</v>
      </c>
      <c r="O12" s="11"/>
      <c r="P12" s="5">
        <f>SUM(OSRRefP13x_0)</f>
        <v>6754.04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6754.04</v>
      </c>
      <c r="Y12" s="5"/>
      <c r="Z12" s="13">
        <f>IF(T12=0,0,X12/T12)</f>
        <v>0</v>
      </c>
    </row>
    <row r="13" spans="1:26" s="70" customFormat="1" ht="15" hidden="1" customHeight="1" outlineLevel="1" x14ac:dyDescent="0.25">
      <c r="A13" s="42"/>
      <c r="B13" s="12" t="str">
        <f>CONCATENATE("          ","4055"," - ","TAXABLE SALES-FOOD")</f>
        <v xml:space="preserve">          4055 - TAXABLE SALES-FOOD</v>
      </c>
      <c r="C13" s="12"/>
      <c r="D13" s="3">
        <f>--514.53</f>
        <v>514.53</v>
      </c>
      <c r="E13" s="3"/>
      <c r="F13" s="20"/>
      <c r="G13" s="3"/>
      <c r="H13" s="3"/>
      <c r="I13" s="3"/>
      <c r="J13" s="20"/>
      <c r="K13" s="3"/>
      <c r="L13" s="3">
        <f>+D13-H13</f>
        <v>514.53</v>
      </c>
      <c r="M13" s="3"/>
      <c r="N13" s="20">
        <f>IF(H13=0,0,L13/H13)</f>
        <v>0</v>
      </c>
      <c r="O13" s="12"/>
      <c r="P13" s="3">
        <f>--2070.63</f>
        <v>2070.63</v>
      </c>
      <c r="Q13" s="3"/>
      <c r="R13" s="20"/>
      <c r="S13" s="3"/>
      <c r="T13" s="3"/>
      <c r="U13" s="3"/>
      <c r="V13" s="20"/>
      <c r="W13" s="3"/>
      <c r="X13" s="3">
        <f>+P13-T13</f>
        <v>2070.63</v>
      </c>
      <c r="Y13" s="3"/>
      <c r="Z13" s="20">
        <f>IF(T13=0,0,X13/T13)</f>
        <v>0</v>
      </c>
    </row>
    <row r="14" spans="1:26" s="70" customFormat="1" ht="15" hidden="1" customHeight="1" outlineLevel="1" x14ac:dyDescent="0.25">
      <c r="A14" s="42"/>
      <c r="B14" s="12" t="str">
        <f>CONCATENATE("          ","4155"," - ","NON-TAXABLE SALES-FOOD")</f>
        <v xml:space="preserve">          4155 - NON-TAXABLE SALES-FOOD</v>
      </c>
      <c r="C14" s="12"/>
      <c r="D14" s="3">
        <f>--884.09</f>
        <v>884.09</v>
      </c>
      <c r="E14" s="3"/>
      <c r="F14" s="20"/>
      <c r="G14" s="3"/>
      <c r="H14" s="3"/>
      <c r="I14" s="3"/>
      <c r="J14" s="20"/>
      <c r="K14" s="3"/>
      <c r="L14" s="3">
        <f>+D14-H14</f>
        <v>884.09</v>
      </c>
      <c r="M14" s="3"/>
      <c r="N14" s="20">
        <f>IF(H14=0,0,L14/H14)</f>
        <v>0</v>
      </c>
      <c r="O14" s="12"/>
      <c r="P14" s="3">
        <f>--4683.41</f>
        <v>4683.41</v>
      </c>
      <c r="Q14" s="3"/>
      <c r="R14" s="20"/>
      <c r="S14" s="3"/>
      <c r="T14" s="3"/>
      <c r="U14" s="3"/>
      <c r="V14" s="20"/>
      <c r="W14" s="3"/>
      <c r="X14" s="3">
        <f>+P14-T14</f>
        <v>4683.41</v>
      </c>
      <c r="Y14" s="3"/>
      <c r="Z14" s="20">
        <f>IF(T14=0,0,X14/T14)</f>
        <v>0</v>
      </c>
    </row>
    <row r="15" spans="1:26" ht="15" customHeight="1" x14ac:dyDescent="0.25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25">
      <c r="A16" s="11"/>
      <c r="B16" s="27" t="s">
        <v>288</v>
      </c>
      <c r="C16" s="11"/>
      <c r="D16" s="5">
        <f>SUM(OSRRefD16x_0)</f>
        <v>0</v>
      </c>
      <c r="E16" s="5"/>
      <c r="F16" s="13">
        <f>IF(D$12=0,0,D16/D$12)</f>
        <v>0</v>
      </c>
      <c r="G16" s="5"/>
      <c r="H16" s="5">
        <f>SUM(OSRRefH16x_0)</f>
        <v>0</v>
      </c>
      <c r="I16" s="5"/>
      <c r="J16" s="13">
        <f>IF(H$12=0,0,H16/H$12)</f>
        <v>0</v>
      </c>
      <c r="K16" s="5"/>
      <c r="L16" s="5">
        <f>+D16-H16</f>
        <v>0</v>
      </c>
      <c r="M16" s="5"/>
      <c r="N16" s="13">
        <f>IF(H16=0,0,L16/H16)</f>
        <v>0</v>
      </c>
      <c r="O16" s="11"/>
      <c r="P16" s="5">
        <f>SUM(OSRRefP16x_0)</f>
        <v>1232.01</v>
      </c>
      <c r="Q16" s="5"/>
      <c r="R16" s="13">
        <f>IF(P$12=0,0,P16/P$12)</f>
        <v>0.18241082374401099</v>
      </c>
      <c r="S16" s="5"/>
      <c r="T16" s="5">
        <f>SUM(OSRRefT16x_0)</f>
        <v>0</v>
      </c>
      <c r="U16" s="5"/>
      <c r="V16" s="13">
        <f>IF(T$12=0,0,T16/T$12)</f>
        <v>0</v>
      </c>
      <c r="W16" s="5"/>
      <c r="X16" s="5">
        <f>+P16-T16</f>
        <v>1232.01</v>
      </c>
      <c r="Y16" s="5"/>
      <c r="Z16" s="13">
        <f>IF(T16=0,0,X16/T16)</f>
        <v>0</v>
      </c>
    </row>
    <row r="17" spans="1:26" s="70" customFormat="1" ht="15" hidden="1" customHeight="1" outlineLevel="1" x14ac:dyDescent="0.25">
      <c r="A17" s="42"/>
      <c r="B17" s="12" t="str">
        <f>CONCATENATE("          ","5053"," - ","PURCHASES @ COST-FOOD")</f>
        <v xml:space="preserve">          5053 - PURCHASES @ COST-FOOD</v>
      </c>
      <c r="C17" s="12"/>
      <c r="D17" s="3"/>
      <c r="E17" s="3"/>
      <c r="F17" s="20">
        <f>IF(D$12=0,0,D17/D$12)</f>
        <v>0</v>
      </c>
      <c r="G17" s="3"/>
      <c r="H17" s="3"/>
      <c r="I17" s="3"/>
      <c r="J17" s="20">
        <f>IF(H$12=0,0,H17/H$12)</f>
        <v>0</v>
      </c>
      <c r="K17" s="3"/>
      <c r="L17" s="3">
        <f>+D17-H17</f>
        <v>0</v>
      </c>
      <c r="M17" s="3"/>
      <c r="N17" s="20">
        <f>IF(H17=0,0,L17/H17)</f>
        <v>0</v>
      </c>
      <c r="O17" s="12"/>
      <c r="P17" s="3">
        <v>1232.01</v>
      </c>
      <c r="Q17" s="3"/>
      <c r="R17" s="20">
        <f>IF(P$12=0,0,P17/P$12)</f>
        <v>0.18241082374401099</v>
      </c>
      <c r="S17" s="3"/>
      <c r="T17" s="3"/>
      <c r="U17" s="3"/>
      <c r="V17" s="20">
        <f>IF(T$12=0,0,T17/T$12)</f>
        <v>0</v>
      </c>
      <c r="W17" s="3"/>
      <c r="X17" s="3">
        <f>+P17-T17</f>
        <v>1232.01</v>
      </c>
      <c r="Y17" s="3"/>
      <c r="Z17" s="20">
        <f>IF(T17=0,0,X17/T17)</f>
        <v>0</v>
      </c>
    </row>
    <row r="18" spans="1:26" ht="15" customHeight="1" x14ac:dyDescent="0.25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x14ac:dyDescent="0.25">
      <c r="A19" s="11"/>
      <c r="B19" s="28" t="s">
        <v>289</v>
      </c>
      <c r="C19" s="28"/>
      <c r="D19" s="22">
        <f>D12-D16</f>
        <v>1398.62</v>
      </c>
      <c r="E19" s="15"/>
      <c r="F19" s="21">
        <f>IF(D$12=0,0,D19/D$12)</f>
        <v>1</v>
      </c>
      <c r="G19" s="15"/>
      <c r="H19" s="22">
        <f>H12-H16</f>
        <v>0</v>
      </c>
      <c r="I19" s="15"/>
      <c r="J19" s="21">
        <f>IF(H$12=0,0,H19/H$12)</f>
        <v>0</v>
      </c>
      <c r="K19" s="16"/>
      <c r="L19" s="22">
        <f>+D19-H19</f>
        <v>1398.62</v>
      </c>
      <c r="M19" s="16"/>
      <c r="N19" s="21">
        <f>IF(H19=0,0,L19/H19)</f>
        <v>0</v>
      </c>
      <c r="O19" s="27"/>
      <c r="P19" s="22">
        <f>P12-P16</f>
        <v>5522.03</v>
      </c>
      <c r="Q19" s="15"/>
      <c r="R19" s="21">
        <f>IF(P$12=0,0,P19/P$12)</f>
        <v>0.81758917625598893</v>
      </c>
      <c r="S19" s="15"/>
      <c r="T19" s="22">
        <f>T12-T16</f>
        <v>0</v>
      </c>
      <c r="U19" s="15"/>
      <c r="V19" s="21">
        <f>IF(T$12=0,0,T19/T$12)</f>
        <v>0</v>
      </c>
      <c r="W19" s="16"/>
      <c r="X19" s="22">
        <f>+P19-T19</f>
        <v>5522.03</v>
      </c>
      <c r="Y19" s="16"/>
      <c r="Z19" s="21">
        <f>IF(T19=0,0,X19/T19)</f>
        <v>0</v>
      </c>
    </row>
    <row r="20" spans="1:26" ht="15" customHeight="1" x14ac:dyDescent="0.25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5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3" customFormat="1" ht="15" customHeight="1" x14ac:dyDescent="0.25">
      <c r="A21" s="11"/>
      <c r="B21" s="27" t="s">
        <v>290</v>
      </c>
      <c r="C21" s="11"/>
      <c r="D21" s="23" cm="1">
        <f t="array" ref="D21">SUM(OSRRefD22x_0)</f>
        <v>2115.62</v>
      </c>
      <c r="E21" s="23"/>
      <c r="F21" s="31">
        <f t="shared" ref="F21:F32" si="0">IF(D$12=0,0,D21/D$12)</f>
        <v>1.5126481817791824</v>
      </c>
      <c r="G21" s="23"/>
      <c r="H21" s="23" cm="1">
        <f t="array" ref="H21">SUM(OSRRefH22x_0)</f>
        <v>0</v>
      </c>
      <c r="I21" s="23"/>
      <c r="J21" s="31">
        <f t="shared" ref="J21:J32" si="1">IF(H$12=0,0,H21/H$12)</f>
        <v>0</v>
      </c>
      <c r="K21" s="5"/>
      <c r="L21" s="23">
        <f t="shared" ref="L21:L32" si="2">+D21-H21</f>
        <v>2115.62</v>
      </c>
      <c r="M21" s="5"/>
      <c r="N21" s="31">
        <f t="shared" ref="N21:N32" si="3">IF(H21=0,0,L21/H21)</f>
        <v>0</v>
      </c>
      <c r="O21" s="11"/>
      <c r="P21" s="23" cm="1">
        <f t="array" ref="P21">SUM(OSRRefP22x_0)</f>
        <v>5930.6699999999983</v>
      </c>
      <c r="Q21" s="23"/>
      <c r="R21" s="31">
        <f t="shared" ref="R21:R32" si="4">IF(P$12=0,0,P21/P$12)</f>
        <v>0.87809222332115267</v>
      </c>
      <c r="S21" s="23"/>
      <c r="T21" s="23" cm="1">
        <f t="array" ref="T21">SUM(OSRRefT22x_0)</f>
        <v>0</v>
      </c>
      <c r="U21" s="23"/>
      <c r="V21" s="31">
        <f t="shared" ref="V21:V32" si="5">IF(T$12=0,0,T21/T$12)</f>
        <v>0</v>
      </c>
      <c r="W21" s="5"/>
      <c r="X21" s="23">
        <f t="shared" ref="X21:X32" si="6">+P21-T21</f>
        <v>5930.6699999999983</v>
      </c>
      <c r="Y21" s="5"/>
      <c r="Z21" s="31">
        <f t="shared" ref="Z21:Z32" si="7">IF(T21=0,0,X21/T21)</f>
        <v>0</v>
      </c>
    </row>
    <row r="22" spans="1:26" s="69" customFormat="1" ht="15" customHeight="1" outlineLevel="1" collapsed="1" x14ac:dyDescent="0.25">
      <c r="A22" s="26"/>
      <c r="B22" s="14" t="str">
        <f>CONCATENATE("     ","*Benefits                                         ")</f>
        <v xml:space="preserve">     *Benefits                                         </v>
      </c>
      <c r="C22" s="14"/>
      <c r="D22" s="2">
        <f>SUM(OSRRefD22_0x_0)</f>
        <v>217.29000000000002</v>
      </c>
      <c r="E22" s="2"/>
      <c r="F22" s="6">
        <f t="shared" si="0"/>
        <v>0.15536028370822672</v>
      </c>
      <c r="G22" s="2"/>
      <c r="H22" s="2">
        <f>SUM(OSRRefH22_0x_0)</f>
        <v>0</v>
      </c>
      <c r="I22" s="2"/>
      <c r="J22" s="6">
        <f t="shared" si="1"/>
        <v>0</v>
      </c>
      <c r="K22" s="2"/>
      <c r="L22" s="2">
        <f t="shared" si="2"/>
        <v>217.29000000000002</v>
      </c>
      <c r="M22" s="2"/>
      <c r="N22" s="6">
        <f t="shared" si="3"/>
        <v>0</v>
      </c>
      <c r="O22" s="14"/>
      <c r="P22" s="2">
        <f>SUM(OSRRefP22_0x_0)</f>
        <v>274.69</v>
      </c>
      <c r="Q22" s="2"/>
      <c r="R22" s="6">
        <f t="shared" si="4"/>
        <v>4.067047278369687E-2</v>
      </c>
      <c r="S22" s="2"/>
      <c r="T22" s="2">
        <f>SUM(OSRRefT22_0x_0)</f>
        <v>0</v>
      </c>
      <c r="U22" s="2"/>
      <c r="V22" s="6">
        <f t="shared" si="5"/>
        <v>0</v>
      </c>
      <c r="W22" s="2"/>
      <c r="X22" s="2">
        <f t="shared" si="6"/>
        <v>274.69</v>
      </c>
      <c r="Y22" s="2"/>
      <c r="Z22" s="6">
        <f t="shared" si="7"/>
        <v>0</v>
      </c>
    </row>
    <row r="23" spans="1:26" s="70" customFormat="1" ht="15" hidden="1" customHeight="1" outlineLevel="2" x14ac:dyDescent="0.25">
      <c r="A23" s="25"/>
      <c r="B23" s="12" t="str">
        <f>CONCATENATE("          ","6112"," - ","COMPENSATION INSURANCE")</f>
        <v xml:space="preserve">          6112 - COMPENSATION INSURANCE</v>
      </c>
      <c r="C23" s="12"/>
      <c r="D23" s="8">
        <v>202.65</v>
      </c>
      <c r="E23" s="3"/>
      <c r="F23" s="7">
        <f t="shared" si="0"/>
        <v>0.14489282292545511</v>
      </c>
      <c r="G23" s="3"/>
      <c r="H23" s="8"/>
      <c r="I23" s="3"/>
      <c r="J23" s="7">
        <f t="shared" si="1"/>
        <v>0</v>
      </c>
      <c r="K23" s="3"/>
      <c r="L23" s="8">
        <f t="shared" si="2"/>
        <v>202.65</v>
      </c>
      <c r="M23" s="3"/>
      <c r="N23" s="7">
        <f t="shared" si="3"/>
        <v>0</v>
      </c>
      <c r="O23" s="12"/>
      <c r="P23" s="8">
        <v>256.18</v>
      </c>
      <c r="Q23" s="3"/>
      <c r="R23" s="7">
        <f t="shared" si="4"/>
        <v>3.7929890850513175E-2</v>
      </c>
      <c r="S23" s="3"/>
      <c r="T23" s="8"/>
      <c r="U23" s="3"/>
      <c r="V23" s="7">
        <f t="shared" si="5"/>
        <v>0</v>
      </c>
      <c r="W23" s="3"/>
      <c r="X23" s="8">
        <f t="shared" si="6"/>
        <v>256.18</v>
      </c>
      <c r="Y23" s="3"/>
      <c r="Z23" s="7">
        <f t="shared" si="7"/>
        <v>0</v>
      </c>
    </row>
    <row r="24" spans="1:26" s="70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14.64</v>
      </c>
      <c r="E24" s="3"/>
      <c r="F24" s="7">
        <f t="shared" si="0"/>
        <v>1.046746078277159E-2</v>
      </c>
      <c r="G24" s="3"/>
      <c r="H24" s="8"/>
      <c r="I24" s="3"/>
      <c r="J24" s="7">
        <f t="shared" si="1"/>
        <v>0</v>
      </c>
      <c r="K24" s="3"/>
      <c r="L24" s="8">
        <f t="shared" si="2"/>
        <v>14.64</v>
      </c>
      <c r="M24" s="3"/>
      <c r="N24" s="7">
        <f t="shared" si="3"/>
        <v>0</v>
      </c>
      <c r="O24" s="12"/>
      <c r="P24" s="8">
        <v>18.510000000000002</v>
      </c>
      <c r="Q24" s="3"/>
      <c r="R24" s="7">
        <f t="shared" si="4"/>
        <v>2.7405819331836946E-3</v>
      </c>
      <c r="S24" s="3"/>
      <c r="T24" s="8"/>
      <c r="U24" s="3"/>
      <c r="V24" s="7">
        <f t="shared" si="5"/>
        <v>0</v>
      </c>
      <c r="W24" s="3"/>
      <c r="X24" s="8">
        <f t="shared" si="6"/>
        <v>18.510000000000002</v>
      </c>
      <c r="Y24" s="3"/>
      <c r="Z24" s="7">
        <f t="shared" si="7"/>
        <v>0</v>
      </c>
    </row>
    <row r="25" spans="1:26" s="69" customFormat="1" ht="15" customHeight="1" outlineLevel="1" collapsed="1" x14ac:dyDescent="0.25">
      <c r="A25" s="26"/>
      <c r="B25" s="14" t="str">
        <f>CONCATENATE("     ","*Payroll                                          ")</f>
        <v xml:space="preserve">     *Payroll                                          </v>
      </c>
      <c r="C25" s="14"/>
      <c r="D25" s="2">
        <f>SUM(OSRRefD22_1x_0)</f>
        <v>1898.33</v>
      </c>
      <c r="E25" s="2"/>
      <c r="F25" s="6">
        <f t="shared" si="0"/>
        <v>1.3572878980709557</v>
      </c>
      <c r="G25" s="2"/>
      <c r="H25" s="2">
        <f>SUM(OSRRefH22_1x_0)</f>
        <v>0</v>
      </c>
      <c r="I25" s="2"/>
      <c r="J25" s="6">
        <f t="shared" si="1"/>
        <v>0</v>
      </c>
      <c r="K25" s="2"/>
      <c r="L25" s="2">
        <f t="shared" si="2"/>
        <v>1898.33</v>
      </c>
      <c r="M25" s="2"/>
      <c r="N25" s="6">
        <f t="shared" si="3"/>
        <v>0</v>
      </c>
      <c r="O25" s="14"/>
      <c r="P25" s="2">
        <f>SUM(OSRRefP22_1x_0)</f>
        <v>5125.3999999999996</v>
      </c>
      <c r="Q25" s="2"/>
      <c r="R25" s="6">
        <f t="shared" si="4"/>
        <v>0.75886432416746119</v>
      </c>
      <c r="S25" s="2"/>
      <c r="T25" s="2">
        <f>SUM(OSRRefT22_1x_0)</f>
        <v>0</v>
      </c>
      <c r="U25" s="2"/>
      <c r="V25" s="6">
        <f t="shared" si="5"/>
        <v>0</v>
      </c>
      <c r="W25" s="2"/>
      <c r="X25" s="2">
        <f t="shared" si="6"/>
        <v>5125.3999999999996</v>
      </c>
      <c r="Y25" s="2"/>
      <c r="Z25" s="6">
        <f t="shared" si="7"/>
        <v>0</v>
      </c>
    </row>
    <row r="26" spans="1:26" s="70" customFormat="1" ht="15" hidden="1" customHeight="1" outlineLevel="2" x14ac:dyDescent="0.25">
      <c r="A26" s="25"/>
      <c r="B26" s="12" t="str">
        <f>CONCATENATE("          ","6007"," - ","STUDENT HOURLY")</f>
        <v xml:space="preserve">          6007 - STUDENT HOURLY</v>
      </c>
      <c r="C26" s="12"/>
      <c r="D26" s="8">
        <v>1898.33</v>
      </c>
      <c r="E26" s="3"/>
      <c r="F26" s="7">
        <f t="shared" si="0"/>
        <v>1.3572878980709557</v>
      </c>
      <c r="G26" s="3"/>
      <c r="H26" s="8"/>
      <c r="I26" s="3"/>
      <c r="J26" s="7">
        <f t="shared" si="1"/>
        <v>0</v>
      </c>
      <c r="K26" s="3"/>
      <c r="L26" s="8">
        <f t="shared" si="2"/>
        <v>1898.33</v>
      </c>
      <c r="M26" s="3"/>
      <c r="N26" s="7">
        <f t="shared" si="3"/>
        <v>0</v>
      </c>
      <c r="O26" s="12"/>
      <c r="P26" s="8">
        <v>5125.3999999999996</v>
      </c>
      <c r="Q26" s="3"/>
      <c r="R26" s="7">
        <f t="shared" si="4"/>
        <v>0.75886432416746119</v>
      </c>
      <c r="S26" s="3"/>
      <c r="T26" s="8"/>
      <c r="U26" s="3"/>
      <c r="V26" s="7">
        <f t="shared" si="5"/>
        <v>0</v>
      </c>
      <c r="W26" s="3"/>
      <c r="X26" s="8">
        <f t="shared" si="6"/>
        <v>5125.3999999999996</v>
      </c>
      <c r="Y26" s="3"/>
      <c r="Z26" s="7">
        <f t="shared" si="7"/>
        <v>0</v>
      </c>
    </row>
    <row r="27" spans="1:26" s="69" customFormat="1" ht="15" customHeight="1" outlineLevel="1" collapsed="1" x14ac:dyDescent="0.25">
      <c r="A27" s="26"/>
      <c r="B27" s="14" t="str">
        <f>CONCATENATE("     ","Bad Debts/Over/Short                              ")</f>
        <v xml:space="preserve">     Bad Debts/Over/Short                              </v>
      </c>
      <c r="C27" s="14"/>
      <c r="D27" s="2">
        <f>SUM(OSRRefD22_2x_0)</f>
        <v>0</v>
      </c>
      <c r="E27" s="2"/>
      <c r="F27" s="6">
        <f t="shared" si="0"/>
        <v>0</v>
      </c>
      <c r="G27" s="2"/>
      <c r="H27" s="2">
        <f>SUM(OSRRefH22_2x_0)</f>
        <v>0</v>
      </c>
      <c r="I27" s="2"/>
      <c r="J27" s="6">
        <f t="shared" si="1"/>
        <v>0</v>
      </c>
      <c r="K27" s="2"/>
      <c r="L27" s="2">
        <f t="shared" si="2"/>
        <v>0</v>
      </c>
      <c r="M27" s="2"/>
      <c r="N27" s="6">
        <f t="shared" si="3"/>
        <v>0</v>
      </c>
      <c r="O27" s="14"/>
      <c r="P27" s="2">
        <f>SUM(OSRRefP22_2x_0)</f>
        <v>-0.1</v>
      </c>
      <c r="Q27" s="2"/>
      <c r="R27" s="6">
        <f t="shared" si="4"/>
        <v>-1.4805953177653671E-5</v>
      </c>
      <c r="S27" s="2"/>
      <c r="T27" s="2">
        <f>SUM(OSRRefT22_2x_0)</f>
        <v>0</v>
      </c>
      <c r="U27" s="2"/>
      <c r="V27" s="6">
        <f t="shared" si="5"/>
        <v>0</v>
      </c>
      <c r="W27" s="2"/>
      <c r="X27" s="2">
        <f t="shared" si="6"/>
        <v>-0.1</v>
      </c>
      <c r="Y27" s="2"/>
      <c r="Z27" s="6">
        <f t="shared" si="7"/>
        <v>0</v>
      </c>
    </row>
    <row r="28" spans="1:26" s="70" customFormat="1" ht="15" hidden="1" customHeight="1" outlineLevel="2" x14ac:dyDescent="0.25">
      <c r="A28" s="25"/>
      <c r="B28" s="12" t="str">
        <f>CONCATENATE("          ","6272"," - ","CASH (OVER/SHORT)")</f>
        <v xml:space="preserve">          6272 - CASH (OVER/SHORT)</v>
      </c>
      <c r="C28" s="12"/>
      <c r="D28" s="8"/>
      <c r="E28" s="3"/>
      <c r="F28" s="7">
        <f t="shared" si="0"/>
        <v>0</v>
      </c>
      <c r="G28" s="3"/>
      <c r="H28" s="8"/>
      <c r="I28" s="3"/>
      <c r="J28" s="7">
        <f t="shared" si="1"/>
        <v>0</v>
      </c>
      <c r="K28" s="3"/>
      <c r="L28" s="8">
        <f t="shared" si="2"/>
        <v>0</v>
      </c>
      <c r="M28" s="3"/>
      <c r="N28" s="7">
        <f t="shared" si="3"/>
        <v>0</v>
      </c>
      <c r="O28" s="12"/>
      <c r="P28" s="8">
        <v>-0.1</v>
      </c>
      <c r="Q28" s="3"/>
      <c r="R28" s="7">
        <f t="shared" si="4"/>
        <v>-1.4805953177653671E-5</v>
      </c>
      <c r="S28" s="3"/>
      <c r="T28" s="8"/>
      <c r="U28" s="3"/>
      <c r="V28" s="7">
        <f t="shared" si="5"/>
        <v>0</v>
      </c>
      <c r="W28" s="3"/>
      <c r="X28" s="8">
        <f t="shared" si="6"/>
        <v>-0.1</v>
      </c>
      <c r="Y28" s="3"/>
      <c r="Z28" s="7">
        <f t="shared" si="7"/>
        <v>0</v>
      </c>
    </row>
    <row r="29" spans="1:26" s="69" customFormat="1" ht="15" customHeight="1" outlineLevel="1" collapsed="1" x14ac:dyDescent="0.25">
      <c r="A29" s="26"/>
      <c r="B29" s="14" t="str">
        <f>CONCATENATE("     ","Bank/card Fees                                    ")</f>
        <v xml:space="preserve">     Bank/card Fees                                    </v>
      </c>
      <c r="C29" s="14"/>
      <c r="D29" s="2">
        <f>SUM(OSRRefD22_3x_0)</f>
        <v>0</v>
      </c>
      <c r="E29" s="2"/>
      <c r="F29" s="6">
        <f t="shared" si="0"/>
        <v>0</v>
      </c>
      <c r="G29" s="2"/>
      <c r="H29" s="2">
        <f>SUM(OSRRefH22_3x_0)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SUM(OSRRefP22_3x_0)</f>
        <v>0.28000000000000003</v>
      </c>
      <c r="Q29" s="2"/>
      <c r="R29" s="6">
        <f t="shared" si="4"/>
        <v>4.1456668897430281E-5</v>
      </c>
      <c r="S29" s="2"/>
      <c r="T29" s="2">
        <f>SUM(OSRRefT22_3x_0)</f>
        <v>0</v>
      </c>
      <c r="U29" s="2"/>
      <c r="V29" s="6">
        <f t="shared" si="5"/>
        <v>0</v>
      </c>
      <c r="W29" s="2"/>
      <c r="X29" s="2">
        <f t="shared" si="6"/>
        <v>0.28000000000000003</v>
      </c>
      <c r="Y29" s="2"/>
      <c r="Z29" s="6">
        <f t="shared" si="7"/>
        <v>0</v>
      </c>
    </row>
    <row r="30" spans="1:26" s="70" customFormat="1" ht="15" hidden="1" customHeight="1" outlineLevel="2" x14ac:dyDescent="0.25">
      <c r="A30" s="25"/>
      <c r="B30" s="12" t="str">
        <f>CONCATENATE("          ","6381"," - ","BANK/CREDIT CARD FEES")</f>
        <v xml:space="preserve">          6381 - BANK/CREDIT CARD FEES</v>
      </c>
      <c r="C30" s="12"/>
      <c r="D30" s="8"/>
      <c r="E30" s="3"/>
      <c r="F30" s="7">
        <f t="shared" si="0"/>
        <v>0</v>
      </c>
      <c r="G30" s="3"/>
      <c r="H30" s="8"/>
      <c r="I30" s="3"/>
      <c r="J30" s="7">
        <f t="shared" si="1"/>
        <v>0</v>
      </c>
      <c r="K30" s="3"/>
      <c r="L30" s="8">
        <f t="shared" si="2"/>
        <v>0</v>
      </c>
      <c r="M30" s="3"/>
      <c r="N30" s="7">
        <f t="shared" si="3"/>
        <v>0</v>
      </c>
      <c r="O30" s="12"/>
      <c r="P30" s="8">
        <v>0.28000000000000003</v>
      </c>
      <c r="Q30" s="3"/>
      <c r="R30" s="7">
        <f t="shared" si="4"/>
        <v>4.1456668897430281E-5</v>
      </c>
      <c r="S30" s="3"/>
      <c r="T30" s="8"/>
      <c r="U30" s="3"/>
      <c r="V30" s="7">
        <f t="shared" si="5"/>
        <v>0</v>
      </c>
      <c r="W30" s="3"/>
      <c r="X30" s="8">
        <f t="shared" si="6"/>
        <v>0.28000000000000003</v>
      </c>
      <c r="Y30" s="3"/>
      <c r="Z30" s="7">
        <f t="shared" si="7"/>
        <v>0</v>
      </c>
    </row>
    <row r="31" spans="1:26" s="69" customFormat="1" ht="15" customHeight="1" outlineLevel="1" collapsed="1" x14ac:dyDescent="0.25">
      <c r="A31" s="26"/>
      <c r="B31" s="14" t="str">
        <f>CONCATENATE("     ","General                                           ")</f>
        <v xml:space="preserve">     General                                           </v>
      </c>
      <c r="C31" s="14"/>
      <c r="D31" s="2">
        <f>SUM(OSRRefD22_4x_0)</f>
        <v>0</v>
      </c>
      <c r="E31" s="2"/>
      <c r="F31" s="6">
        <f t="shared" si="0"/>
        <v>0</v>
      </c>
      <c r="G31" s="2"/>
      <c r="H31" s="2">
        <f>SUM(OSRRefH22_4x_0)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SUM(OSRRefP22_4x_0)</f>
        <v>530.4</v>
      </c>
      <c r="Q31" s="2"/>
      <c r="R31" s="6">
        <f t="shared" si="4"/>
        <v>7.8530775654275062E-2</v>
      </c>
      <c r="S31" s="2"/>
      <c r="T31" s="2">
        <f>SUM(OSRRefT22_4x_0)</f>
        <v>0</v>
      </c>
      <c r="U31" s="2"/>
      <c r="V31" s="6">
        <f t="shared" si="5"/>
        <v>0</v>
      </c>
      <c r="W31" s="2"/>
      <c r="X31" s="2">
        <f t="shared" si="6"/>
        <v>530.4</v>
      </c>
      <c r="Y31" s="2"/>
      <c r="Z31" s="6">
        <f t="shared" si="7"/>
        <v>0</v>
      </c>
    </row>
    <row r="32" spans="1:26" s="70" customFormat="1" ht="15" hidden="1" customHeight="1" outlineLevel="2" x14ac:dyDescent="0.25">
      <c r="A32" s="25"/>
      <c r="B32" s="12" t="str">
        <f>CONCATENATE("          ","6279"," - ","GENERAL EXPENSE")</f>
        <v xml:space="preserve">          6279 - GENERAL EXPENSE</v>
      </c>
      <c r="C32" s="12"/>
      <c r="D32" s="8"/>
      <c r="E32" s="3"/>
      <c r="F32" s="7">
        <f t="shared" si="0"/>
        <v>0</v>
      </c>
      <c r="G32" s="3"/>
      <c r="H32" s="8"/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>
        <v>530.4</v>
      </c>
      <c r="Q32" s="3"/>
      <c r="R32" s="7">
        <f t="shared" si="4"/>
        <v>7.8530775654275062E-2</v>
      </c>
      <c r="S32" s="3"/>
      <c r="T32" s="8"/>
      <c r="U32" s="3"/>
      <c r="V32" s="7">
        <f t="shared" si="5"/>
        <v>0</v>
      </c>
      <c r="W32" s="3"/>
      <c r="X32" s="8">
        <f t="shared" si="6"/>
        <v>530.4</v>
      </c>
      <c r="Y32" s="3"/>
      <c r="Z32" s="7">
        <f t="shared" si="7"/>
        <v>0</v>
      </c>
    </row>
    <row r="33" spans="1:26" s="65" customFormat="1" ht="15" customHeight="1" x14ac:dyDescent="0.25">
      <c r="A33" s="35"/>
      <c r="B33" s="35"/>
      <c r="C33" s="35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5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3" customFormat="1" ht="15" customHeight="1" x14ac:dyDescent="0.25">
      <c r="A34" s="11"/>
      <c r="B34" s="27" t="s">
        <v>291</v>
      </c>
      <c r="C34" s="11"/>
      <c r="D34" s="5">
        <f>SUM(0)</f>
        <v>0</v>
      </c>
      <c r="E34" s="5"/>
      <c r="F34" s="13">
        <f>IF(D$12=0,0,D34/D$12)</f>
        <v>0</v>
      </c>
      <c r="G34" s="5"/>
      <c r="H34" s="5">
        <f>SUM(0)</f>
        <v>0</v>
      </c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>
        <f>SUM(0)</f>
        <v>0</v>
      </c>
      <c r="Q34" s="5"/>
      <c r="R34" s="13">
        <f>IF(P$12=0,0,P34/P$12)</f>
        <v>0</v>
      </c>
      <c r="S34" s="5"/>
      <c r="T34" s="5">
        <f>SUM(0)</f>
        <v>0</v>
      </c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25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292</v>
      </c>
      <c r="C36" s="28"/>
      <c r="D36" s="22">
        <f>+D19-D21+D34</f>
        <v>-717</v>
      </c>
      <c r="E36" s="15"/>
      <c r="F36" s="21">
        <f>IF(D$12=0,0,D36/D$12)</f>
        <v>-0.51264818177918237</v>
      </c>
      <c r="G36" s="15"/>
      <c r="H36" s="22">
        <f>+H19-H21+H34</f>
        <v>0</v>
      </c>
      <c r="I36" s="15"/>
      <c r="J36" s="21">
        <f>IF(H$12=0,0,H36/H$12)</f>
        <v>0</v>
      </c>
      <c r="K36" s="16"/>
      <c r="L36" s="22">
        <f>+D36-H36</f>
        <v>-717</v>
      </c>
      <c r="M36" s="16"/>
      <c r="N36" s="21">
        <f>IF(H36=0,0,L36/H36)</f>
        <v>0</v>
      </c>
      <c r="O36" s="27"/>
      <c r="P36" s="22">
        <f>+P19-P21+P34</f>
        <v>-408.63999999999851</v>
      </c>
      <c r="Q36" s="15"/>
      <c r="R36" s="21">
        <f>IF(P$12=0,0,P36/P$12)</f>
        <v>-6.050304706516374E-2</v>
      </c>
      <c r="S36" s="15"/>
      <c r="T36" s="22">
        <f>+T19-T21+T34</f>
        <v>0</v>
      </c>
      <c r="U36" s="15"/>
      <c r="V36" s="21">
        <f>IF(T$12=0,0,T36/T$12)</f>
        <v>0</v>
      </c>
      <c r="W36" s="16"/>
      <c r="X36" s="22">
        <f>+P36-T36</f>
        <v>-408.63999999999851</v>
      </c>
      <c r="Y36" s="16"/>
      <c r="Z36" s="21">
        <f>IF(T36=0,0,X36/T36)</f>
        <v>0</v>
      </c>
    </row>
    <row r="37" spans="1:26" ht="15" customHeight="1" x14ac:dyDescent="0.25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25">
      <c r="A38" s="49"/>
      <c r="B38" s="11" t="s">
        <v>293</v>
      </c>
      <c r="C38" s="11"/>
      <c r="D38" s="5">
        <v>152.65</v>
      </c>
      <c r="E38" s="5"/>
      <c r="F38" s="13">
        <f>IF(D$12=0,0,D38/D$12)</f>
        <v>0.10914329839413137</v>
      </c>
      <c r="G38" s="5"/>
      <c r="H38" s="5"/>
      <c r="I38" s="5"/>
      <c r="J38" s="13">
        <f>IF(H$12=0,0,H38/H$12)</f>
        <v>0</v>
      </c>
      <c r="K38" s="5"/>
      <c r="L38" s="5">
        <f>+D38-H38</f>
        <v>152.65</v>
      </c>
      <c r="M38" s="5"/>
      <c r="N38" s="13">
        <f>IF(H38=0,0,L38/H38)</f>
        <v>0</v>
      </c>
      <c r="O38" s="11"/>
      <c r="P38" s="5">
        <v>759.33</v>
      </c>
      <c r="Q38" s="5"/>
      <c r="R38" s="13">
        <f>IF(P$12=0,0,P38/P$12)</f>
        <v>0.11242604426387763</v>
      </c>
      <c r="S38" s="5"/>
      <c r="T38" s="5"/>
      <c r="U38" s="5"/>
      <c r="V38" s="13">
        <f>IF(T$12=0,0,T38/T$12)</f>
        <v>0</v>
      </c>
      <c r="W38" s="5"/>
      <c r="X38" s="5">
        <f>+P38-T38</f>
        <v>759.33</v>
      </c>
      <c r="Y38" s="5"/>
      <c r="Z38" s="13">
        <f>IF(T38=0,0,X38/T38)</f>
        <v>0</v>
      </c>
    </row>
    <row r="39" spans="1:26" ht="15" customHeight="1" x14ac:dyDescent="0.25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25">
      <c r="A40" s="11"/>
      <c r="B40" s="28" t="s">
        <v>294</v>
      </c>
      <c r="C40" s="28"/>
      <c r="D40" s="34">
        <f>+D36-D38</f>
        <v>-869.65</v>
      </c>
      <c r="E40" s="15"/>
      <c r="F40" s="32">
        <f>IF(D$12=0,0,D40/D$12)</f>
        <v>-0.62179148017331376</v>
      </c>
      <c r="G40" s="15"/>
      <c r="H40" s="34">
        <f>+H36-H38</f>
        <v>0</v>
      </c>
      <c r="I40" s="15"/>
      <c r="J40" s="32">
        <f>IF(H$12=0,0,H40/H$12)</f>
        <v>0</v>
      </c>
      <c r="K40" s="16"/>
      <c r="L40" s="34">
        <f>D40-H40</f>
        <v>-869.65</v>
      </c>
      <c r="M40" s="16"/>
      <c r="N40" s="32">
        <f>IF(H40=0,0,L40/H40)</f>
        <v>0</v>
      </c>
      <c r="O40" s="27"/>
      <c r="P40" s="34">
        <f>+P36-P38</f>
        <v>-1167.9699999999984</v>
      </c>
      <c r="Q40" s="15"/>
      <c r="R40" s="32">
        <f>IF(P$12=0,0,P40/P$12)</f>
        <v>-0.17292909132904136</v>
      </c>
      <c r="S40" s="15"/>
      <c r="T40" s="34">
        <f>+T36-T38</f>
        <v>0</v>
      </c>
      <c r="U40" s="15"/>
      <c r="V40" s="32">
        <f>IF(T$12=0,0,T40/T$12)</f>
        <v>0</v>
      </c>
      <c r="W40" s="16"/>
      <c r="X40" s="34">
        <f>P40-T40</f>
        <v>-1167.9699999999984</v>
      </c>
      <c r="Y40" s="16"/>
      <c r="Z40" s="32">
        <f>IF(T40=0,0,X40/T40)</f>
        <v>0</v>
      </c>
    </row>
    <row r="41" spans="1:26" ht="15" customHeight="1" x14ac:dyDescent="0.25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ht="15" customHeight="1" x14ac:dyDescent="0.25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s="63" customFormat="1" ht="15" customHeight="1" x14ac:dyDescent="0.25">
      <c r="A43" s="11"/>
      <c r="B43" s="28" t="s">
        <v>297</v>
      </c>
      <c r="C43" s="28"/>
      <c r="D43" s="30">
        <f>SUM(D40:D42)</f>
        <v>-869.65</v>
      </c>
      <c r="E43" s="15"/>
      <c r="F43" s="33">
        <f>IF(D$12=0,0,D43/D$12)</f>
        <v>-0.62179148017331376</v>
      </c>
      <c r="G43" s="15"/>
      <c r="H43" s="30">
        <f>SUM(H40:H42)</f>
        <v>0</v>
      </c>
      <c r="I43" s="15"/>
      <c r="J43" s="33">
        <f>IF(H$12=0,0,H43/H$12)</f>
        <v>0</v>
      </c>
      <c r="K43" s="16"/>
      <c r="L43" s="30">
        <f>+D43-H43</f>
        <v>-869.65</v>
      </c>
      <c r="M43" s="16"/>
      <c r="N43" s="33">
        <f>IF(H43=0,0,L43/H43)</f>
        <v>0</v>
      </c>
      <c r="O43" s="27"/>
      <c r="P43" s="30">
        <f>SUM(P40:P42)</f>
        <v>-1167.9699999999984</v>
      </c>
      <c r="Q43" s="15"/>
      <c r="R43" s="33">
        <f>IF(P$12=0,0,P43/P$12)</f>
        <v>-0.17292909132904136</v>
      </c>
      <c r="S43" s="15"/>
      <c r="T43" s="30">
        <f>SUM(T40:T42)</f>
        <v>0</v>
      </c>
      <c r="U43" s="15"/>
      <c r="V43" s="33">
        <f>IF(T$12=0,0,T43/T$12)</f>
        <v>0</v>
      </c>
      <c r="W43" s="16"/>
      <c r="X43" s="30">
        <f>+P43-T43</f>
        <v>-1167.9699999999984</v>
      </c>
      <c r="Y43" s="16"/>
      <c r="Z43" s="33">
        <f>IF(T43=0,0,X43/T43)</f>
        <v>0</v>
      </c>
    </row>
    <row r="44" spans="1:26" ht="15" customHeight="1" x14ac:dyDescent="0.25">
      <c r="A44" s="10"/>
      <c r="C44" s="10"/>
      <c r="D44" s="18"/>
      <c r="E44" s="18"/>
      <c r="G44" s="18"/>
      <c r="H44" s="18"/>
      <c r="I44" s="18"/>
      <c r="J44" s="40"/>
      <c r="K44" s="18"/>
      <c r="L44" s="18"/>
      <c r="M44" s="18"/>
      <c r="P44" s="18"/>
      <c r="Q44" s="18"/>
      <c r="R44" s="40"/>
      <c r="S44" s="18"/>
      <c r="T44" s="18"/>
      <c r="U44" s="18"/>
      <c r="V44" s="40"/>
      <c r="W44" s="18"/>
      <c r="X44" s="18"/>
    </row>
    <row r="45" spans="1:26" ht="15" customHeight="1" x14ac:dyDescent="0.25">
      <c r="A45" s="10"/>
      <c r="B45" s="54">
        <v>44727.874527581022</v>
      </c>
      <c r="D45" s="18"/>
      <c r="E45" s="18"/>
      <c r="G45" s="18"/>
      <c r="H45" s="18"/>
      <c r="I45" s="18"/>
      <c r="J45" s="40"/>
      <c r="K45" s="18"/>
      <c r="L45" s="18"/>
      <c r="M45" s="18"/>
      <c r="P45" s="18"/>
      <c r="Q45" s="18"/>
      <c r="R45" s="40"/>
      <c r="S45" s="18"/>
      <c r="T45" s="18"/>
      <c r="U45" s="18"/>
      <c r="V45" s="40"/>
      <c r="W45" s="18"/>
      <c r="X45" s="18"/>
    </row>
    <row r="46" spans="1:26" ht="15" customHeight="1" x14ac:dyDescent="0.25">
      <c r="A46" s="10"/>
      <c r="B46" s="50" t="s">
        <v>298</v>
      </c>
      <c r="D46" s="18"/>
      <c r="E46" s="18"/>
      <c r="G46" s="18"/>
      <c r="H46" s="18"/>
      <c r="I46" s="18"/>
      <c r="J46" s="40"/>
      <c r="K46" s="18"/>
      <c r="L46" s="18"/>
      <c r="M46" s="18"/>
      <c r="P46" s="18"/>
      <c r="Q46" s="18"/>
      <c r="R46" s="40"/>
      <c r="S46" s="18"/>
      <c r="T46" s="18"/>
      <c r="U46" s="18"/>
      <c r="V46" s="40"/>
      <c r="W46" s="18"/>
      <c r="X46" s="18"/>
    </row>
    <row r="47" spans="1:26" ht="15" customHeight="1" x14ac:dyDescent="0.25">
      <c r="A47" s="10"/>
      <c r="B47" s="58"/>
      <c r="D47" s="18"/>
      <c r="E47" s="18"/>
      <c r="G47" s="18"/>
      <c r="H47" s="18"/>
      <c r="I47" s="18"/>
      <c r="J47" s="40"/>
      <c r="K47" s="18"/>
      <c r="L47" s="18"/>
      <c r="M47" s="18"/>
      <c r="P47" s="18"/>
      <c r="Q47" s="18"/>
      <c r="R47" s="40"/>
      <c r="S47" s="18"/>
      <c r="T47" s="18"/>
      <c r="U47" s="18"/>
      <c r="V47" s="40"/>
      <c r="W47" s="18"/>
      <c r="X47" s="18"/>
    </row>
    <row r="48" spans="1:26" ht="15" customHeight="1" x14ac:dyDescent="0.25">
      <c r="D48" s="18"/>
      <c r="E48" s="18"/>
      <c r="G48" s="18"/>
      <c r="H48" s="18"/>
      <c r="I48" s="18"/>
      <c r="J48" s="40"/>
      <c r="K48" s="18"/>
      <c r="L48" s="18"/>
      <c r="M48" s="18"/>
      <c r="P48" s="18"/>
      <c r="Q48" s="18"/>
      <c r="R48" s="40"/>
      <c r="S48" s="18"/>
      <c r="T48" s="18"/>
      <c r="U48" s="18"/>
      <c r="V48" s="40"/>
      <c r="W48" s="18"/>
      <c r="X48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7FE6C-1ADD-7603-3CE7-50C5FA7FAD1A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","444"," - ","Parkside Dining Hall")</f>
        <v>Department 444 - Parkside Dining Hall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339467.87000000005</v>
      </c>
      <c r="E12" s="5"/>
      <c r="F12" s="13"/>
      <c r="G12" s="5"/>
      <c r="H12" s="5">
        <f>SUM(OSRRefH13x_0)</f>
        <v>297000</v>
      </c>
      <c r="I12" s="5"/>
      <c r="J12" s="13"/>
      <c r="K12" s="5"/>
      <c r="L12" s="5">
        <f>+D12-H12</f>
        <v>42467.870000000054</v>
      </c>
      <c r="M12" s="5"/>
      <c r="N12" s="13">
        <f>IF(H12=0,0,L12/H12)</f>
        <v>0.14298946127946147</v>
      </c>
      <c r="O12" s="11"/>
      <c r="P12" s="5">
        <f>SUM(OSRRefP13x_0)</f>
        <v>5706451.5099999998</v>
      </c>
      <c r="Q12" s="5"/>
      <c r="R12" s="13"/>
      <c r="S12" s="5"/>
      <c r="T12" s="5">
        <f>SUM(OSRRefT13x_0)</f>
        <v>4356000</v>
      </c>
      <c r="U12" s="5"/>
      <c r="V12" s="13"/>
      <c r="W12" s="5"/>
      <c r="X12" s="5">
        <f>+P12-T12</f>
        <v>1350451.5099999998</v>
      </c>
      <c r="Y12" s="5"/>
      <c r="Z12" s="13">
        <f>IF(T12=0,0,X12/T12)</f>
        <v>0.31002100780532593</v>
      </c>
    </row>
    <row r="13" spans="1:26" s="70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--160.59</f>
        <v>160.59</v>
      </c>
      <c r="E13" s="3"/>
      <c r="F13" s="20"/>
      <c r="G13" s="3"/>
      <c r="H13" s="3"/>
      <c r="I13" s="3"/>
      <c r="J13" s="20"/>
      <c r="K13" s="3"/>
      <c r="L13" s="3">
        <f>+D13-H13</f>
        <v>160.59</v>
      </c>
      <c r="M13" s="3"/>
      <c r="N13" s="20">
        <f>IF(H13=0,0,L13/H13)</f>
        <v>0</v>
      </c>
      <c r="O13" s="12"/>
      <c r="P13" s="3">
        <f>--1284.65</f>
        <v>1284.6500000000001</v>
      </c>
      <c r="Q13" s="3"/>
      <c r="R13" s="20"/>
      <c r="S13" s="3"/>
      <c r="T13" s="3"/>
      <c r="U13" s="3"/>
      <c r="V13" s="20"/>
      <c r="W13" s="3"/>
      <c r="X13" s="3">
        <f>+P13-T13</f>
        <v>1284.6500000000001</v>
      </c>
      <c r="Y13" s="3"/>
      <c r="Z13" s="20">
        <f>IF(T13=0,0,X13/T13)</f>
        <v>0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297000</v>
      </c>
      <c r="I14" s="3"/>
      <c r="J14" s="20"/>
      <c r="K14" s="3"/>
      <c r="L14" s="3">
        <f>+D14-H14</f>
        <v>-297000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4356000</v>
      </c>
      <c r="U14" s="3"/>
      <c r="V14" s="20"/>
      <c r="W14" s="3"/>
      <c r="X14" s="3">
        <f>+P14-T14</f>
        <v>-4356000</v>
      </c>
      <c r="Y14" s="3"/>
      <c r="Z14" s="20">
        <f>IF(T14=0,0,X14/T14)</f>
        <v>-1</v>
      </c>
    </row>
    <row r="15" spans="1:26" s="70" customFormat="1" ht="15" hidden="1" customHeight="1" outlineLevel="1" x14ac:dyDescent="0.25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--336756.14</f>
        <v>336756.14</v>
      </c>
      <c r="E15" s="3"/>
      <c r="F15" s="20"/>
      <c r="G15" s="3"/>
      <c r="H15" s="3"/>
      <c r="I15" s="3"/>
      <c r="J15" s="20"/>
      <c r="K15" s="3"/>
      <c r="L15" s="3">
        <f>+D15-H15</f>
        <v>336756.14</v>
      </c>
      <c r="M15" s="3"/>
      <c r="N15" s="20">
        <f>IF(H15=0,0,L15/H15)</f>
        <v>0</v>
      </c>
      <c r="O15" s="12"/>
      <c r="P15" s="3">
        <f>--5676457.97</f>
        <v>5676457.9699999997</v>
      </c>
      <c r="Q15" s="3"/>
      <c r="R15" s="20"/>
      <c r="S15" s="3"/>
      <c r="T15" s="3"/>
      <c r="U15" s="3"/>
      <c r="V15" s="20"/>
      <c r="W15" s="3"/>
      <c r="X15" s="3">
        <f>+P15-T15</f>
        <v>5676457.9699999997</v>
      </c>
      <c r="Y15" s="3"/>
      <c r="Z15" s="20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--2551.14</f>
        <v>2551.14</v>
      </c>
      <c r="E16" s="3"/>
      <c r="F16" s="20"/>
      <c r="G16" s="3"/>
      <c r="H16" s="3"/>
      <c r="I16" s="3"/>
      <c r="J16" s="20"/>
      <c r="K16" s="3"/>
      <c r="L16" s="3">
        <f>+D16-H16</f>
        <v>2551.14</v>
      </c>
      <c r="M16" s="3"/>
      <c r="N16" s="20">
        <f>IF(H16=0,0,L16/H16)</f>
        <v>0</v>
      </c>
      <c r="O16" s="12"/>
      <c r="P16" s="3">
        <f>--28708.89</f>
        <v>28708.89</v>
      </c>
      <c r="Q16" s="3"/>
      <c r="R16" s="20"/>
      <c r="S16" s="3"/>
      <c r="T16" s="3"/>
      <c r="U16" s="3"/>
      <c r="V16" s="20"/>
      <c r="W16" s="3"/>
      <c r="X16" s="3">
        <f>+P16-T16</f>
        <v>28708.89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70631.709999999992</v>
      </c>
      <c r="E18" s="5"/>
      <c r="F18" s="13">
        <f>IF(D$12=0,0,D18/D$12)</f>
        <v>0.20806596512359177</v>
      </c>
      <c r="G18" s="5"/>
      <c r="H18" s="5">
        <f>SUM(OSRRefH16x_0)</f>
        <v>89100</v>
      </c>
      <c r="I18" s="5"/>
      <c r="J18" s="13">
        <f>IF(H$12=0,0,H18/H$12)</f>
        <v>0.3</v>
      </c>
      <c r="K18" s="5"/>
      <c r="L18" s="5">
        <f>+D18-H18</f>
        <v>-18468.290000000008</v>
      </c>
      <c r="M18" s="5"/>
      <c r="N18" s="13">
        <f>IF(H18=0,0,L18/H18)</f>
        <v>-0.2072759820426488</v>
      </c>
      <c r="O18" s="11"/>
      <c r="P18" s="5">
        <f>SUM(OSRRefP16x_0)</f>
        <v>1311437.1200000001</v>
      </c>
      <c r="Q18" s="5"/>
      <c r="R18" s="13">
        <f>IF(P$12=0,0,P18/P$12)</f>
        <v>0.22981657124428981</v>
      </c>
      <c r="S18" s="5"/>
      <c r="T18" s="5">
        <f>SUM(OSRRefT16x_0)</f>
        <v>1220868</v>
      </c>
      <c r="U18" s="5"/>
      <c r="V18" s="13">
        <f>IF(T$12=0,0,T18/T$12)</f>
        <v>0.28027272727272728</v>
      </c>
      <c r="W18" s="5"/>
      <c r="X18" s="5">
        <f>+P18-T18</f>
        <v>90569.120000000112</v>
      </c>
      <c r="Y18" s="5"/>
      <c r="Z18" s="13">
        <f>IF(T18=0,0,X18/T18)</f>
        <v>7.4184203370061388E-2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89100</v>
      </c>
      <c r="I19" s="3"/>
      <c r="J19" s="20">
        <f>IF(H$12=0,0,H19/H$12)</f>
        <v>0.3</v>
      </c>
      <c r="K19" s="3"/>
      <c r="L19" s="3">
        <f>+D19-H19</f>
        <v>-89100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1220868</v>
      </c>
      <c r="U19" s="3"/>
      <c r="V19" s="20">
        <f>IF(T$12=0,0,T19/T$12)</f>
        <v>0.28027272727272728</v>
      </c>
      <c r="W19" s="3"/>
      <c r="X19" s="3">
        <f>+P19-T19</f>
        <v>-1220868</v>
      </c>
      <c r="Y19" s="3"/>
      <c r="Z19" s="20">
        <f>IF(T19=0,0,X19/T19)</f>
        <v>-1</v>
      </c>
    </row>
    <row r="20" spans="1:26" s="70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54596.71</v>
      </c>
      <c r="E20" s="3"/>
      <c r="F20" s="20">
        <f>IF(D$12=0,0,D20/D$12)</f>
        <v>0.16083027239072725</v>
      </c>
      <c r="G20" s="3"/>
      <c r="H20" s="3"/>
      <c r="I20" s="3"/>
      <c r="J20" s="20">
        <f>IF(H$12=0,0,H20/H$12)</f>
        <v>0</v>
      </c>
      <c r="K20" s="3"/>
      <c r="L20" s="3">
        <f>+D20-H20</f>
        <v>54596.71</v>
      </c>
      <c r="M20" s="3"/>
      <c r="N20" s="20">
        <f>IF(H20=0,0,L20/H20)</f>
        <v>0</v>
      </c>
      <c r="O20" s="12"/>
      <c r="P20" s="3">
        <v>1301005.1200000001</v>
      </c>
      <c r="Q20" s="3"/>
      <c r="R20" s="20">
        <f>IF(P$12=0,0,P20/P$12)</f>
        <v>0.22798846493659247</v>
      </c>
      <c r="S20" s="3"/>
      <c r="T20" s="3"/>
      <c r="U20" s="3"/>
      <c r="V20" s="20">
        <f>IF(T$12=0,0,T20/T$12)</f>
        <v>0</v>
      </c>
      <c r="W20" s="3"/>
      <c r="X20" s="3">
        <f>+P20-T20</f>
        <v>1301005.1200000001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16035</v>
      </c>
      <c r="E21" s="3"/>
      <c r="F21" s="20">
        <f>IF(D$12=0,0,D21/D$12)</f>
        <v>4.7235692732864522E-2</v>
      </c>
      <c r="G21" s="3"/>
      <c r="H21" s="3"/>
      <c r="I21" s="3"/>
      <c r="J21" s="20">
        <f>IF(H$12=0,0,H21/H$12)</f>
        <v>0</v>
      </c>
      <c r="K21" s="3"/>
      <c r="L21" s="3">
        <f>+D21-H21</f>
        <v>16035</v>
      </c>
      <c r="M21" s="3"/>
      <c r="N21" s="20">
        <f>IF(H21=0,0,L21/H21)</f>
        <v>0</v>
      </c>
      <c r="O21" s="12"/>
      <c r="P21" s="3">
        <v>10432</v>
      </c>
      <c r="Q21" s="3"/>
      <c r="R21" s="20">
        <f>IF(P$12=0,0,P21/P$12)</f>
        <v>1.8281063076973382E-3</v>
      </c>
      <c r="S21" s="3"/>
      <c r="T21" s="3"/>
      <c r="U21" s="3"/>
      <c r="V21" s="20">
        <f>IF(T$12=0,0,T21/T$12)</f>
        <v>0</v>
      </c>
      <c r="W21" s="3"/>
      <c r="X21" s="3">
        <f>+P21-T21</f>
        <v>10432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D12-D18</f>
        <v>268836.16000000003</v>
      </c>
      <c r="E23" s="15"/>
      <c r="F23" s="21">
        <f>IF(D$12=0,0,D23/D$12)</f>
        <v>0.79193403487640812</v>
      </c>
      <c r="G23" s="15"/>
      <c r="H23" s="22">
        <f>H12-H18</f>
        <v>207900</v>
      </c>
      <c r="I23" s="15"/>
      <c r="J23" s="21">
        <f>IF(H$12=0,0,H23/H$12)</f>
        <v>0.7</v>
      </c>
      <c r="K23" s="16"/>
      <c r="L23" s="22">
        <f>+D23-H23</f>
        <v>60936.160000000033</v>
      </c>
      <c r="M23" s="16"/>
      <c r="N23" s="21">
        <f>IF(H23=0,0,L23/H23)</f>
        <v>0.29310322270322287</v>
      </c>
      <c r="O23" s="27"/>
      <c r="P23" s="22">
        <f>P12-P18</f>
        <v>4395014.3899999997</v>
      </c>
      <c r="Q23" s="15"/>
      <c r="R23" s="21">
        <f>IF(P$12=0,0,P23/P$12)</f>
        <v>0.77018342875571022</v>
      </c>
      <c r="S23" s="15"/>
      <c r="T23" s="22">
        <f>T12-T18</f>
        <v>3135132</v>
      </c>
      <c r="U23" s="15"/>
      <c r="V23" s="21">
        <f>IF(T$12=0,0,T23/T$12)</f>
        <v>0.71972727272727277</v>
      </c>
      <c r="W23" s="16"/>
      <c r="X23" s="22">
        <f>+P23-T23</f>
        <v>1259882.3899999997</v>
      </c>
      <c r="Y23" s="16"/>
      <c r="Z23" s="21">
        <f>IF(T23=0,0,X23/T23)</f>
        <v>0.40185944004909513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139819.06000000003</v>
      </c>
      <c r="E25" s="23"/>
      <c r="F25" s="31">
        <f t="shared" ref="F25:F56" si="0">IF(D$12=0,0,D25/D$12)</f>
        <v>0.4118771534990926</v>
      </c>
      <c r="G25" s="23"/>
      <c r="H25" s="23" cm="1">
        <f t="array" ref="H25">SUM(OSRRefH22x_0)</f>
        <v>169867.87569121993</v>
      </c>
      <c r="I25" s="23"/>
      <c r="J25" s="31">
        <f t="shared" ref="J25:J56" si="1">IF(H$12=0,0,H25/H$12)</f>
        <v>0.5719457093980469</v>
      </c>
      <c r="K25" s="5"/>
      <c r="L25" s="23">
        <f t="shared" ref="L25:L56" si="2">+D25-H25</f>
        <v>-30048.815691219905</v>
      </c>
      <c r="M25" s="5"/>
      <c r="N25" s="31">
        <f t="shared" ref="N25:N56" si="3">IF(H25=0,0,L25/H25)</f>
        <v>-0.17689522264846369</v>
      </c>
      <c r="O25" s="11"/>
      <c r="P25" s="23" cm="1">
        <f t="array" ref="P25">SUM(OSRRefP22x_0)</f>
        <v>2065309.84</v>
      </c>
      <c r="Q25" s="23"/>
      <c r="R25" s="31">
        <f t="shared" ref="R25:R56" si="4">IF(P$12=0,0,P25/P$12)</f>
        <v>0.36192541658870597</v>
      </c>
      <c r="S25" s="23"/>
      <c r="T25" s="23" cm="1">
        <f t="array" ref="T25">SUM(OSRRefT22x_0)</f>
        <v>2314975.9802946383</v>
      </c>
      <c r="U25" s="23"/>
      <c r="V25" s="31">
        <f t="shared" ref="V25:V56" si="5">IF(T$12=0,0,T25/T$12)</f>
        <v>0.53144535819436145</v>
      </c>
      <c r="W25" s="5"/>
      <c r="X25" s="23">
        <f t="shared" ref="X25:X56" si="6">+P25-T25</f>
        <v>-249666.14029463823</v>
      </c>
      <c r="Y25" s="5"/>
      <c r="Z25" s="31">
        <f t="shared" ref="Z25:Z56" si="7">IF(T25=0,0,X25/T25)</f>
        <v>-0.10784826383505802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29920.919999999995</v>
      </c>
      <c r="E26" s="2"/>
      <c r="F26" s="6">
        <f t="shared" si="0"/>
        <v>8.8140653782639258E-2</v>
      </c>
      <c r="G26" s="2"/>
      <c r="H26" s="2">
        <f>SUM(OSRRefH22_0x_0)</f>
        <v>37072.84266045074</v>
      </c>
      <c r="I26" s="2"/>
      <c r="J26" s="6">
        <f t="shared" si="1"/>
        <v>0.1248243860621237</v>
      </c>
      <c r="K26" s="2"/>
      <c r="L26" s="2">
        <f t="shared" si="2"/>
        <v>-7151.9226604507458</v>
      </c>
      <c r="M26" s="2"/>
      <c r="N26" s="6">
        <f t="shared" si="3"/>
        <v>-0.19291541050561001</v>
      </c>
      <c r="O26" s="14"/>
      <c r="P26" s="2">
        <f>SUM(OSRRefP22_0x_0)</f>
        <v>332383.86</v>
      </c>
      <c r="Q26" s="2"/>
      <c r="R26" s="6">
        <f t="shared" si="4"/>
        <v>5.82470313499606E-2</v>
      </c>
      <c r="S26" s="2"/>
      <c r="T26" s="2">
        <f>SUM(OSRRefT22_0x_0)</f>
        <v>454450.06092540844</v>
      </c>
      <c r="U26" s="2"/>
      <c r="V26" s="6">
        <f t="shared" si="5"/>
        <v>0.10432737854118651</v>
      </c>
      <c r="W26" s="2"/>
      <c r="X26" s="2">
        <f t="shared" si="6"/>
        <v>-122066.20092540846</v>
      </c>
      <c r="Y26" s="2"/>
      <c r="Z26" s="6">
        <f t="shared" si="7"/>
        <v>-0.2686020124562023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3712.38</v>
      </c>
      <c r="E27" s="3"/>
      <c r="F27" s="7">
        <f t="shared" si="0"/>
        <v>1.0935880323519276E-2</v>
      </c>
      <c r="G27" s="3"/>
      <c r="H27" s="8">
        <v>3512.8786589123101</v>
      </c>
      <c r="I27" s="3"/>
      <c r="J27" s="7">
        <f t="shared" si="1"/>
        <v>1.182787427243202E-2</v>
      </c>
      <c r="K27" s="3"/>
      <c r="L27" s="8">
        <f t="shared" si="2"/>
        <v>199.50134108768998</v>
      </c>
      <c r="M27" s="3"/>
      <c r="N27" s="7">
        <f t="shared" si="3"/>
        <v>5.6791412530446304E-2</v>
      </c>
      <c r="O27" s="12"/>
      <c r="P27" s="8">
        <v>51414.55</v>
      </c>
      <c r="Q27" s="3"/>
      <c r="R27" s="7">
        <f t="shared" si="4"/>
        <v>9.0098986927166589E-3</v>
      </c>
      <c r="S27" s="3"/>
      <c r="T27" s="8">
        <v>44542.279906947697</v>
      </c>
      <c r="U27" s="3"/>
      <c r="V27" s="7">
        <f t="shared" si="5"/>
        <v>1.0225500437774954E-2</v>
      </c>
      <c r="W27" s="3"/>
      <c r="X27" s="8">
        <f t="shared" si="6"/>
        <v>6872.270093052306</v>
      </c>
      <c r="Y27" s="3"/>
      <c r="Z27" s="7">
        <f t="shared" si="7"/>
        <v>0.15428644666166652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4644.6099999999997</v>
      </c>
      <c r="E28" s="3"/>
      <c r="F28" s="7">
        <f t="shared" si="0"/>
        <v>1.3682031233176793E-2</v>
      </c>
      <c r="G28" s="3"/>
      <c r="H28" s="8">
        <v>3392.2160661384601</v>
      </c>
      <c r="I28" s="3"/>
      <c r="J28" s="7">
        <f t="shared" si="1"/>
        <v>1.1421602916291112E-2</v>
      </c>
      <c r="K28" s="3"/>
      <c r="L28" s="8">
        <f t="shared" si="2"/>
        <v>1252.3939338615396</v>
      </c>
      <c r="M28" s="3"/>
      <c r="N28" s="7">
        <f t="shared" si="3"/>
        <v>0.36919639240056024</v>
      </c>
      <c r="O28" s="12"/>
      <c r="P28" s="8">
        <v>35519.360000000001</v>
      </c>
      <c r="Q28" s="3"/>
      <c r="R28" s="7">
        <f t="shared" si="4"/>
        <v>6.2244215933064161E-3</v>
      </c>
      <c r="S28" s="3"/>
      <c r="T28" s="8">
        <v>48007.872403661502</v>
      </c>
      <c r="U28" s="3"/>
      <c r="V28" s="7">
        <f t="shared" si="5"/>
        <v>1.1021091001758838E-2</v>
      </c>
      <c r="W28" s="3"/>
      <c r="X28" s="8">
        <f t="shared" si="6"/>
        <v>-12488.512403661502</v>
      </c>
      <c r="Y28" s="3"/>
      <c r="Z28" s="7">
        <f t="shared" si="7"/>
        <v>-0.26013467746821078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14203.11</v>
      </c>
      <c r="E29" s="3"/>
      <c r="F29" s="7">
        <f t="shared" si="0"/>
        <v>4.1839335192458707E-2</v>
      </c>
      <c r="G29" s="3"/>
      <c r="H29" s="8">
        <v>21172.769230769201</v>
      </c>
      <c r="I29" s="3"/>
      <c r="J29" s="7">
        <f t="shared" si="1"/>
        <v>7.1288785288785184E-2</v>
      </c>
      <c r="K29" s="3"/>
      <c r="L29" s="8">
        <f t="shared" si="2"/>
        <v>-6969.6592307692008</v>
      </c>
      <c r="M29" s="3"/>
      <c r="N29" s="7">
        <f t="shared" si="3"/>
        <v>-0.32918033322918311</v>
      </c>
      <c r="O29" s="12"/>
      <c r="P29" s="8">
        <v>158328.07</v>
      </c>
      <c r="Q29" s="3"/>
      <c r="R29" s="7">
        <f t="shared" si="4"/>
        <v>2.7745450867767037E-2</v>
      </c>
      <c r="S29" s="3"/>
      <c r="T29" s="8">
        <v>250051.23076922999</v>
      </c>
      <c r="U29" s="3"/>
      <c r="V29" s="7">
        <f t="shared" si="5"/>
        <v>5.7403863812954543E-2</v>
      </c>
      <c r="W29" s="3"/>
      <c r="X29" s="8">
        <f t="shared" si="6"/>
        <v>-91723.160769229988</v>
      </c>
      <c r="Y29" s="3"/>
      <c r="Z29" s="7">
        <f t="shared" si="7"/>
        <v>-0.36681747371153894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335.44</v>
      </c>
      <c r="E30" s="3"/>
      <c r="F30" s="7">
        <f t="shared" si="0"/>
        <v>9.8813475337150439E-4</v>
      </c>
      <c r="G30" s="3"/>
      <c r="H30" s="8">
        <v>187.95920155384599</v>
      </c>
      <c r="I30" s="3"/>
      <c r="J30" s="7">
        <f t="shared" si="1"/>
        <v>6.3285926449106397E-4</v>
      </c>
      <c r="K30" s="3"/>
      <c r="L30" s="8">
        <f t="shared" si="2"/>
        <v>147.48079844615401</v>
      </c>
      <c r="M30" s="3"/>
      <c r="N30" s="7">
        <f t="shared" si="3"/>
        <v>0.7846426098160677</v>
      </c>
      <c r="O30" s="12"/>
      <c r="P30" s="8">
        <v>2565.27</v>
      </c>
      <c r="Q30" s="3"/>
      <c r="R30" s="7">
        <f t="shared" si="4"/>
        <v>4.4953856096115327E-4</v>
      </c>
      <c r="S30" s="3"/>
      <c r="T30" s="8">
        <v>2660.0668086461501</v>
      </c>
      <c r="U30" s="3"/>
      <c r="V30" s="7">
        <f t="shared" si="5"/>
        <v>6.1066731144310152E-4</v>
      </c>
      <c r="W30" s="3"/>
      <c r="X30" s="8">
        <f t="shared" si="6"/>
        <v>-94.796808646150112</v>
      </c>
      <c r="Y30" s="3"/>
      <c r="Z30" s="7">
        <f t="shared" si="7"/>
        <v>-3.5637002927154778E-2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1163.51</v>
      </c>
      <c r="E31" s="3"/>
      <c r="F31" s="7">
        <f t="shared" si="0"/>
        <v>3.427452500880274E-3</v>
      </c>
      <c r="G31" s="3"/>
      <c r="H31" s="8">
        <v>1406.6708415384601</v>
      </c>
      <c r="I31" s="3"/>
      <c r="J31" s="7">
        <f t="shared" si="1"/>
        <v>4.7362654597254547E-3</v>
      </c>
      <c r="K31" s="3"/>
      <c r="L31" s="8">
        <f t="shared" si="2"/>
        <v>-243.16084153846009</v>
      </c>
      <c r="M31" s="3"/>
      <c r="N31" s="7">
        <f t="shared" si="3"/>
        <v>-0.1728626444495841</v>
      </c>
      <c r="O31" s="12"/>
      <c r="P31" s="8">
        <v>15589.36</v>
      </c>
      <c r="Q31" s="3"/>
      <c r="R31" s="7">
        <f t="shared" si="4"/>
        <v>2.7318833731752854E-3</v>
      </c>
      <c r="S31" s="3"/>
      <c r="T31" s="8">
        <v>16880.050098461499</v>
      </c>
      <c r="U31" s="3"/>
      <c r="V31" s="7">
        <f t="shared" si="5"/>
        <v>3.8751262852299126E-3</v>
      </c>
      <c r="W31" s="3"/>
      <c r="X31" s="8">
        <f t="shared" si="6"/>
        <v>-1290.6900984614986</v>
      </c>
      <c r="Y31" s="3"/>
      <c r="Z31" s="7">
        <f t="shared" si="7"/>
        <v>-7.6462456623818675E-2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","6117"," - ","RETIREMENT STAFF HOURLY")</f>
        <v xml:space="preserve">          6117 - RETIREMENT STAFF HOURLY</v>
      </c>
      <c r="C33" s="12"/>
      <c r="D33" s="8">
        <v>569.49</v>
      </c>
      <c r="E33" s="3"/>
      <c r="F33" s="7">
        <f t="shared" si="0"/>
        <v>1.6775961742712202E-3</v>
      </c>
      <c r="G33" s="3"/>
      <c r="H33" s="8"/>
      <c r="I33" s="3"/>
      <c r="J33" s="7">
        <f t="shared" si="1"/>
        <v>0</v>
      </c>
      <c r="K33" s="3"/>
      <c r="L33" s="8">
        <f t="shared" si="2"/>
        <v>569.49</v>
      </c>
      <c r="M33" s="3"/>
      <c r="N33" s="7">
        <f t="shared" si="3"/>
        <v>0</v>
      </c>
      <c r="O33" s="12"/>
      <c r="P33" s="8">
        <v>5712.2</v>
      </c>
      <c r="Q33" s="3"/>
      <c r="R33" s="7">
        <f t="shared" si="4"/>
        <v>1.0010073668355766E-3</v>
      </c>
      <c r="S33" s="3"/>
      <c r="T33" s="8"/>
      <c r="U33" s="3"/>
      <c r="V33" s="7">
        <f t="shared" si="5"/>
        <v>0</v>
      </c>
      <c r="W33" s="3"/>
      <c r="X33" s="8">
        <f t="shared" si="6"/>
        <v>5712.2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","6118"," - ","VACATION")</f>
        <v xml:space="preserve">          6118 - VACATION</v>
      </c>
      <c r="C34" s="12"/>
      <c r="D34" s="8">
        <v>2400.62</v>
      </c>
      <c r="E34" s="3"/>
      <c r="F34" s="7">
        <f t="shared" si="0"/>
        <v>7.0717149166429193E-3</v>
      </c>
      <c r="G34" s="3"/>
      <c r="H34" s="8">
        <v>1967.9663307692299</v>
      </c>
      <c r="I34" s="3"/>
      <c r="J34" s="7">
        <f t="shared" si="1"/>
        <v>6.6261492618492589E-3</v>
      </c>
      <c r="K34" s="3"/>
      <c r="L34" s="8">
        <f t="shared" si="2"/>
        <v>432.65366923076999</v>
      </c>
      <c r="M34" s="3"/>
      <c r="N34" s="7">
        <f t="shared" si="3"/>
        <v>0.21984810535943278</v>
      </c>
      <c r="O34" s="12"/>
      <c r="P34" s="8">
        <v>30871.279999999999</v>
      </c>
      <c r="Q34" s="3"/>
      <c r="R34" s="7">
        <f t="shared" si="4"/>
        <v>5.4098908833100732E-3</v>
      </c>
      <c r="S34" s="3"/>
      <c r="T34" s="8">
        <v>23615.595969230799</v>
      </c>
      <c r="U34" s="3"/>
      <c r="V34" s="7">
        <f t="shared" si="5"/>
        <v>5.4213948506039479E-3</v>
      </c>
      <c r="W34" s="3"/>
      <c r="X34" s="8">
        <f t="shared" si="6"/>
        <v>7255.6840307692</v>
      </c>
      <c r="Y34" s="3"/>
      <c r="Z34" s="7">
        <f t="shared" si="7"/>
        <v>0.30724119942697048</v>
      </c>
    </row>
    <row r="35" spans="1:26" s="70" customFormat="1" ht="15" hidden="1" customHeight="1" outlineLevel="2" x14ac:dyDescent="0.25">
      <c r="A35" s="25"/>
      <c r="B35" s="12" t="str">
        <f>CONCATENATE("          ","6119"," - ","SICK LEAVE")</f>
        <v xml:space="preserve">          6119 - SICK LEAVE</v>
      </c>
      <c r="C35" s="12"/>
      <c r="D35" s="8">
        <v>1790.48</v>
      </c>
      <c r="E35" s="3"/>
      <c r="F35" s="7">
        <f t="shared" si="0"/>
        <v>5.2743725054156072E-3</v>
      </c>
      <c r="G35" s="3"/>
      <c r="H35" s="8">
        <v>3157.3823307692301</v>
      </c>
      <c r="I35" s="3"/>
      <c r="J35" s="7">
        <f t="shared" si="1"/>
        <v>1.0630916938616937E-2</v>
      </c>
      <c r="K35" s="3"/>
      <c r="L35" s="8">
        <f t="shared" si="2"/>
        <v>-1366.90233076923</v>
      </c>
      <c r="M35" s="3"/>
      <c r="N35" s="7">
        <f t="shared" si="3"/>
        <v>-0.43292265160558269</v>
      </c>
      <c r="O35" s="12"/>
      <c r="P35" s="8">
        <v>21753.62</v>
      </c>
      <c r="Q35" s="3"/>
      <c r="R35" s="7">
        <f t="shared" si="4"/>
        <v>3.8121098482794256E-3</v>
      </c>
      <c r="S35" s="3"/>
      <c r="T35" s="8">
        <v>43667.964969230801</v>
      </c>
      <c r="U35" s="3"/>
      <c r="V35" s="7">
        <f t="shared" si="5"/>
        <v>1.0024785346471717E-2</v>
      </c>
      <c r="W35" s="3"/>
      <c r="X35" s="8">
        <f t="shared" si="6"/>
        <v>-21914.344969230802</v>
      </c>
      <c r="Y35" s="3"/>
      <c r="Z35" s="7">
        <f t="shared" si="7"/>
        <v>-0.50184030752685693</v>
      </c>
    </row>
    <row r="36" spans="1:26" s="70" customFormat="1" ht="15" hidden="1" customHeight="1" outlineLevel="2" x14ac:dyDescent="0.25">
      <c r="A36" s="25"/>
      <c r="B36" s="12" t="str">
        <f>CONCATENATE("          ","6156"," - ","EMPLOYEE MEALS")</f>
        <v xml:space="preserve">          6156 - EMPLOYEE MEALS</v>
      </c>
      <c r="C36" s="12"/>
      <c r="D36" s="8">
        <v>1101.28</v>
      </c>
      <c r="E36" s="3"/>
      <c r="F36" s="7">
        <f t="shared" si="0"/>
        <v>3.2441361829029644E-3</v>
      </c>
      <c r="G36" s="3"/>
      <c r="H36" s="8">
        <v>2275</v>
      </c>
      <c r="I36" s="3"/>
      <c r="J36" s="7">
        <f t="shared" si="1"/>
        <v>7.6599326599326601E-3</v>
      </c>
      <c r="K36" s="3"/>
      <c r="L36" s="8">
        <f t="shared" si="2"/>
        <v>-1173.72</v>
      </c>
      <c r="M36" s="3"/>
      <c r="N36" s="7">
        <f t="shared" si="3"/>
        <v>-0.51592087912087914</v>
      </c>
      <c r="O36" s="12"/>
      <c r="P36" s="8">
        <v>10630.15</v>
      </c>
      <c r="Q36" s="3"/>
      <c r="R36" s="7">
        <f t="shared" si="4"/>
        <v>1.8628301636089781E-3</v>
      </c>
      <c r="S36" s="3"/>
      <c r="T36" s="8">
        <v>25025</v>
      </c>
      <c r="U36" s="3"/>
      <c r="V36" s="7">
        <f t="shared" si="5"/>
        <v>5.7449494949494946E-3</v>
      </c>
      <c r="W36" s="3"/>
      <c r="X36" s="8">
        <f t="shared" si="6"/>
        <v>-14394.85</v>
      </c>
      <c r="Y36" s="3"/>
      <c r="Z36" s="7">
        <f t="shared" si="7"/>
        <v>-0.57521878121878123</v>
      </c>
    </row>
    <row r="37" spans="1:26" s="69" customFormat="1" ht="15" customHeight="1" outlineLevel="1" collapsed="1" x14ac:dyDescent="0.25">
      <c r="A37" s="26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70355.920000000013</v>
      </c>
      <c r="E37" s="2"/>
      <c r="F37" s="6">
        <f t="shared" si="0"/>
        <v>0.20725354655802919</v>
      </c>
      <c r="G37" s="2"/>
      <c r="H37" s="2">
        <f>SUM(OSRRefH22_1x_0)</f>
        <v>84379.033030769206</v>
      </c>
      <c r="I37" s="2"/>
      <c r="J37" s="6">
        <f t="shared" si="1"/>
        <v>0.28410448831908824</v>
      </c>
      <c r="K37" s="2"/>
      <c r="L37" s="2">
        <f t="shared" si="2"/>
        <v>-14023.113030769193</v>
      </c>
      <c r="M37" s="2"/>
      <c r="N37" s="6">
        <f t="shared" si="3"/>
        <v>-0.16619191435454825</v>
      </c>
      <c r="O37" s="14"/>
      <c r="P37" s="2">
        <f>SUM(OSRRefP22_1x_0)</f>
        <v>1018892.0800000001</v>
      </c>
      <c r="Q37" s="2"/>
      <c r="R37" s="6">
        <f t="shared" si="4"/>
        <v>0.17855090474605648</v>
      </c>
      <c r="S37" s="2"/>
      <c r="T37" s="2">
        <f>SUM(OSRRefT22_1x_0)</f>
        <v>1199414.91936923</v>
      </c>
      <c r="U37" s="2"/>
      <c r="V37" s="6">
        <f t="shared" si="5"/>
        <v>0.27534777763297291</v>
      </c>
      <c r="W37" s="2"/>
      <c r="X37" s="2">
        <f t="shared" si="6"/>
        <v>-180522.83936922997</v>
      </c>
      <c r="Y37" s="2"/>
      <c r="Z37" s="6">
        <f t="shared" si="7"/>
        <v>-0.15050908276525907</v>
      </c>
    </row>
    <row r="38" spans="1:26" s="70" customFormat="1" ht="15" hidden="1" customHeight="1" outlineLevel="2" x14ac:dyDescent="0.25">
      <c r="A38" s="25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","6002"," - ","STAFF SALARIES")</f>
        <v xml:space="preserve">          6002 - STAFF SALARIES</v>
      </c>
      <c r="C39" s="12"/>
      <c r="D39" s="8">
        <v>11102.3</v>
      </c>
      <c r="E39" s="3"/>
      <c r="F39" s="7">
        <f t="shared" si="0"/>
        <v>3.270500975541514E-2</v>
      </c>
      <c r="G39" s="3"/>
      <c r="H39" s="8">
        <v>15375.239430769199</v>
      </c>
      <c r="I39" s="3"/>
      <c r="J39" s="7">
        <f t="shared" si="1"/>
        <v>5.1768482931882825E-2</v>
      </c>
      <c r="K39" s="3"/>
      <c r="L39" s="8">
        <f t="shared" si="2"/>
        <v>-4272.9394307692</v>
      </c>
      <c r="M39" s="3"/>
      <c r="N39" s="7">
        <f t="shared" si="3"/>
        <v>-0.27791043189988435</v>
      </c>
      <c r="O39" s="12"/>
      <c r="P39" s="8">
        <v>163261.14000000001</v>
      </c>
      <c r="Q39" s="3"/>
      <c r="R39" s="7">
        <f t="shared" si="4"/>
        <v>2.8609923297148988E-2</v>
      </c>
      <c r="S39" s="3"/>
      <c r="T39" s="8">
        <v>184502.87316923001</v>
      </c>
      <c r="U39" s="3"/>
      <c r="V39" s="7">
        <f t="shared" si="5"/>
        <v>4.2356031489722223E-2</v>
      </c>
      <c r="W39" s="3"/>
      <c r="X39" s="8">
        <f t="shared" si="6"/>
        <v>-21241.733169229992</v>
      </c>
      <c r="Y39" s="3"/>
      <c r="Z39" s="7">
        <f t="shared" si="7"/>
        <v>-0.11512955220890581</v>
      </c>
    </row>
    <row r="40" spans="1:26" s="70" customFormat="1" ht="15" hidden="1" customHeight="1" outlineLevel="2" x14ac:dyDescent="0.25">
      <c r="A40" s="25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","6004"," - ","STAFF HOURLY")</f>
        <v xml:space="preserve">          6004 - STAFF HOURLY</v>
      </c>
      <c r="C41" s="12"/>
      <c r="D41" s="8">
        <v>27584.99</v>
      </c>
      <c r="E41" s="3"/>
      <c r="F41" s="7">
        <f t="shared" si="0"/>
        <v>8.1259501819715654E-2</v>
      </c>
      <c r="G41" s="3"/>
      <c r="H41" s="8">
        <v>26709.4656</v>
      </c>
      <c r="I41" s="3"/>
      <c r="J41" s="7">
        <f t="shared" si="1"/>
        <v>8.9930860606060606E-2</v>
      </c>
      <c r="K41" s="3"/>
      <c r="L41" s="8">
        <f t="shared" si="2"/>
        <v>875.52440000000206</v>
      </c>
      <c r="M41" s="3"/>
      <c r="N41" s="7">
        <f t="shared" si="3"/>
        <v>3.2779555125206326E-2</v>
      </c>
      <c r="O41" s="12"/>
      <c r="P41" s="8">
        <v>317254.34000000003</v>
      </c>
      <c r="Q41" s="3"/>
      <c r="R41" s="7">
        <f t="shared" si="4"/>
        <v>5.5595730454213572E-2</v>
      </c>
      <c r="S41" s="3"/>
      <c r="T41" s="8">
        <v>320513.58720000001</v>
      </c>
      <c r="U41" s="3"/>
      <c r="V41" s="7">
        <f t="shared" si="5"/>
        <v>7.357979504132231E-2</v>
      </c>
      <c r="W41" s="3"/>
      <c r="X41" s="8">
        <f t="shared" si="6"/>
        <v>-3259.2471999999834</v>
      </c>
      <c r="Y41" s="3"/>
      <c r="Z41" s="7">
        <f t="shared" si="7"/>
        <v>-1.0168826939515103E-2</v>
      </c>
    </row>
    <row r="42" spans="1:26" s="70" customFormat="1" ht="15" hidden="1" customHeight="1" outlineLevel="2" x14ac:dyDescent="0.25">
      <c r="A42" s="25"/>
      <c r="B42" s="12" t="str">
        <f>CONCATENATE("          ","6005"," - ","TEMPORARY WAGES-HOURLY")</f>
        <v xml:space="preserve">          6005 - TEMPORARY WAGES-HOURLY</v>
      </c>
      <c r="C42" s="12"/>
      <c r="D42" s="8">
        <v>5999.01</v>
      </c>
      <c r="E42" s="3"/>
      <c r="F42" s="7">
        <f t="shared" si="0"/>
        <v>1.7671804992914351E-2</v>
      </c>
      <c r="G42" s="3"/>
      <c r="H42" s="8">
        <v>8917.2099999999991</v>
      </c>
      <c r="I42" s="3"/>
      <c r="J42" s="7">
        <f t="shared" si="1"/>
        <v>3.0024276094276093E-2</v>
      </c>
      <c r="K42" s="3"/>
      <c r="L42" s="8">
        <f t="shared" si="2"/>
        <v>-2918.1999999999989</v>
      </c>
      <c r="M42" s="3"/>
      <c r="N42" s="7">
        <f t="shared" si="3"/>
        <v>-0.32725482521999583</v>
      </c>
      <c r="O42" s="12"/>
      <c r="P42" s="8">
        <v>177793.29</v>
      </c>
      <c r="Q42" s="3"/>
      <c r="R42" s="7">
        <f t="shared" si="4"/>
        <v>3.1156540923625586E-2</v>
      </c>
      <c r="S42" s="3"/>
      <c r="T42" s="8">
        <v>153401.13500000001</v>
      </c>
      <c r="U42" s="3"/>
      <c r="V42" s="7">
        <f t="shared" si="5"/>
        <v>3.5216054866850324E-2</v>
      </c>
      <c r="W42" s="3"/>
      <c r="X42" s="8">
        <f t="shared" si="6"/>
        <v>24392.154999999999</v>
      </c>
      <c r="Y42" s="3"/>
      <c r="Z42" s="7">
        <f t="shared" si="7"/>
        <v>0.15900896039654464</v>
      </c>
    </row>
    <row r="43" spans="1:26" s="70" customFormat="1" ht="15" hidden="1" customHeight="1" outlineLevel="2" x14ac:dyDescent="0.25">
      <c r="A43" s="25"/>
      <c r="B43" s="12" t="str">
        <f>CONCATENATE("          ","6006"," - ","TEMPORARY PART TIME")</f>
        <v xml:space="preserve">          6006 - TEMPORARY PART TIME</v>
      </c>
      <c r="C43" s="12"/>
      <c r="D43" s="8">
        <v>788.8</v>
      </c>
      <c r="E43" s="3"/>
      <c r="F43" s="7">
        <f t="shared" si="0"/>
        <v>2.3236366964567217E-3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788.8</v>
      </c>
      <c r="M43" s="3"/>
      <c r="N43" s="7">
        <f t="shared" si="3"/>
        <v>0</v>
      </c>
      <c r="O43" s="12"/>
      <c r="P43" s="8">
        <v>4022.72</v>
      </c>
      <c r="Q43" s="3"/>
      <c r="R43" s="7">
        <f t="shared" si="4"/>
        <v>7.049424660755594E-4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4022.72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","6007"," - ","STUDENT HOURLY")</f>
        <v xml:space="preserve">          6007 - STUDENT HOURLY</v>
      </c>
      <c r="C44" s="12"/>
      <c r="D44" s="8">
        <v>16229.27</v>
      </c>
      <c r="E44" s="3"/>
      <c r="F44" s="7">
        <f t="shared" si="0"/>
        <v>4.7807970751399823E-2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16229.27</v>
      </c>
      <c r="M44" s="3"/>
      <c r="N44" s="7">
        <f t="shared" si="3"/>
        <v>0</v>
      </c>
      <c r="O44" s="12"/>
      <c r="P44" s="8">
        <v>247798.41</v>
      </c>
      <c r="Q44" s="3"/>
      <c r="R44" s="7">
        <f t="shared" si="4"/>
        <v>4.3424255785886809E-2</v>
      </c>
      <c r="S44" s="3"/>
      <c r="T44" s="8">
        <v>30264</v>
      </c>
      <c r="U44" s="3"/>
      <c r="V44" s="7">
        <f t="shared" si="5"/>
        <v>6.9476584022038568E-3</v>
      </c>
      <c r="W44" s="3"/>
      <c r="X44" s="8">
        <f t="shared" si="6"/>
        <v>217534.41</v>
      </c>
      <c r="Y44" s="3"/>
      <c r="Z44" s="7">
        <f t="shared" si="7"/>
        <v>7.1878935368754959</v>
      </c>
    </row>
    <row r="45" spans="1:26" s="70" customFormat="1" ht="15" hidden="1" customHeight="1" outlineLevel="2" x14ac:dyDescent="0.25">
      <c r="A45" s="25"/>
      <c r="B45" s="12" t="str">
        <f>CONCATENATE("          ","6008"," - ","STUDENT HOURLY-FICA EXEMPT")</f>
        <v xml:space="preserve">          6008 - STUDENT HOURLY-FICA EXEMPT</v>
      </c>
      <c r="C45" s="12"/>
      <c r="D45" s="8">
        <v>8651.5499999999993</v>
      </c>
      <c r="E45" s="3"/>
      <c r="F45" s="7">
        <f t="shared" si="0"/>
        <v>2.5485622542127471E-2</v>
      </c>
      <c r="G45" s="3"/>
      <c r="H45" s="8">
        <v>33377.118000000002</v>
      </c>
      <c r="I45" s="3"/>
      <c r="J45" s="7">
        <f t="shared" si="1"/>
        <v>0.1123808686868687</v>
      </c>
      <c r="K45" s="3"/>
      <c r="L45" s="8">
        <f t="shared" si="2"/>
        <v>-24725.568000000003</v>
      </c>
      <c r="M45" s="3"/>
      <c r="N45" s="7">
        <f t="shared" si="3"/>
        <v>-0.74079397747882247</v>
      </c>
      <c r="O45" s="12"/>
      <c r="P45" s="8">
        <v>108762.18</v>
      </c>
      <c r="Q45" s="3"/>
      <c r="R45" s="7">
        <f t="shared" si="4"/>
        <v>1.9059511819105951E-2</v>
      </c>
      <c r="S45" s="3"/>
      <c r="T45" s="8">
        <v>510733.32400000002</v>
      </c>
      <c r="U45" s="3"/>
      <c r="V45" s="7">
        <f t="shared" si="5"/>
        <v>0.11724823783287421</v>
      </c>
      <c r="W45" s="3"/>
      <c r="X45" s="8">
        <f t="shared" si="6"/>
        <v>-401971.14400000003</v>
      </c>
      <c r="Y45" s="3"/>
      <c r="Z45" s="7">
        <f t="shared" si="7"/>
        <v>-0.78704702652220127</v>
      </c>
    </row>
    <row r="46" spans="1:26" s="70" customFormat="1" ht="15" hidden="1" customHeight="1" outlineLevel="2" x14ac:dyDescent="0.25">
      <c r="A46" s="25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25">
      <c r="A47" s="25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25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452.08</v>
      </c>
      <c r="E48" s="2"/>
      <c r="F48" s="6">
        <f t="shared" si="0"/>
        <v>1.3317313358698717E-3</v>
      </c>
      <c r="G48" s="2"/>
      <c r="H48" s="2">
        <f>SUM(OSRRefH22_2x_0)</f>
        <v>369</v>
      </c>
      <c r="I48" s="2"/>
      <c r="J48" s="6">
        <f t="shared" si="1"/>
        <v>1.2424242424242424E-3</v>
      </c>
      <c r="K48" s="2"/>
      <c r="L48" s="2">
        <f t="shared" si="2"/>
        <v>83.079999999999984</v>
      </c>
      <c r="M48" s="2"/>
      <c r="N48" s="6">
        <f t="shared" si="3"/>
        <v>0.22514905149051487</v>
      </c>
      <c r="O48" s="14"/>
      <c r="P48" s="2">
        <f>SUM(OSRRefP22_2x_0)</f>
        <v>1538.89</v>
      </c>
      <c r="Q48" s="2"/>
      <c r="R48" s="6">
        <f t="shared" si="4"/>
        <v>2.6967547122817842E-4</v>
      </c>
      <c r="S48" s="2"/>
      <c r="T48" s="2">
        <f>SUM(OSRRefT22_2x_0)</f>
        <v>4059</v>
      </c>
      <c r="U48" s="2"/>
      <c r="V48" s="6">
        <f t="shared" si="5"/>
        <v>9.3181818181818177E-4</v>
      </c>
      <c r="W48" s="2"/>
      <c r="X48" s="2">
        <f t="shared" si="6"/>
        <v>-2520.1099999999997</v>
      </c>
      <c r="Y48" s="2"/>
      <c r="Z48" s="6">
        <f t="shared" si="7"/>
        <v>-0.62086967233308687</v>
      </c>
    </row>
    <row r="49" spans="1:26" s="70" customFormat="1" ht="15" hidden="1" customHeight="1" outlineLevel="2" x14ac:dyDescent="0.25">
      <c r="A49" s="25"/>
      <c r="B49" s="12" t="str">
        <f>CONCATENATE("          ","6362"," - ","ADVERTISING EXPENSE")</f>
        <v xml:space="preserve">          6362 - ADVERTISING EXPENSE</v>
      </c>
      <c r="C49" s="12"/>
      <c r="D49" s="8">
        <v>452.08</v>
      </c>
      <c r="E49" s="3"/>
      <c r="F49" s="7">
        <f t="shared" si="0"/>
        <v>1.3317313358698717E-3</v>
      </c>
      <c r="G49" s="3"/>
      <c r="H49" s="8">
        <v>369</v>
      </c>
      <c r="I49" s="3"/>
      <c r="J49" s="7">
        <f t="shared" si="1"/>
        <v>1.2424242424242424E-3</v>
      </c>
      <c r="K49" s="3"/>
      <c r="L49" s="8">
        <f t="shared" si="2"/>
        <v>83.079999999999984</v>
      </c>
      <c r="M49" s="3"/>
      <c r="N49" s="7">
        <f t="shared" si="3"/>
        <v>0.22514905149051487</v>
      </c>
      <c r="O49" s="12"/>
      <c r="P49" s="8">
        <v>1538.89</v>
      </c>
      <c r="Q49" s="3"/>
      <c r="R49" s="7">
        <f t="shared" si="4"/>
        <v>2.6967547122817842E-4</v>
      </c>
      <c r="S49" s="3"/>
      <c r="T49" s="8">
        <v>4059</v>
      </c>
      <c r="U49" s="3"/>
      <c r="V49" s="7">
        <f t="shared" si="5"/>
        <v>9.3181818181818177E-4</v>
      </c>
      <c r="W49" s="3"/>
      <c r="X49" s="8">
        <f t="shared" si="6"/>
        <v>-2520.1099999999997</v>
      </c>
      <c r="Y49" s="3"/>
      <c r="Z49" s="7">
        <f t="shared" si="7"/>
        <v>-0.62086967233308687</v>
      </c>
    </row>
    <row r="50" spans="1:26" s="69" customFormat="1" ht="15" customHeight="1" outlineLevel="1" collapsed="1" x14ac:dyDescent="0.25">
      <c r="A50" s="26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8</v>
      </c>
      <c r="I50" s="2"/>
      <c r="J50" s="6">
        <f t="shared" si="1"/>
        <v>2.6936026936026937E-5</v>
      </c>
      <c r="K50" s="2"/>
      <c r="L50" s="2">
        <f t="shared" si="2"/>
        <v>-8</v>
      </c>
      <c r="M50" s="2"/>
      <c r="N50" s="6">
        <f t="shared" si="3"/>
        <v>-1</v>
      </c>
      <c r="O50" s="14"/>
      <c r="P50" s="2">
        <f>SUM(OSRRefP22_3x_0)</f>
        <v>0</v>
      </c>
      <c r="Q50" s="2"/>
      <c r="R50" s="6">
        <f t="shared" si="4"/>
        <v>0</v>
      </c>
      <c r="S50" s="2"/>
      <c r="T50" s="2">
        <f>SUM(OSRRefT22_3x_0)</f>
        <v>80</v>
      </c>
      <c r="U50" s="2"/>
      <c r="V50" s="6">
        <f t="shared" si="5"/>
        <v>1.8365472910927457E-5</v>
      </c>
      <c r="W50" s="2"/>
      <c r="X50" s="2">
        <f t="shared" si="6"/>
        <v>-80</v>
      </c>
      <c r="Y50" s="2"/>
      <c r="Z50" s="6">
        <f t="shared" si="7"/>
        <v>-1</v>
      </c>
    </row>
    <row r="51" spans="1:26" s="70" customFormat="1" ht="15" hidden="1" customHeight="1" outlineLevel="2" x14ac:dyDescent="0.25">
      <c r="A51" s="25"/>
      <c r="B51" s="12" t="str">
        <f>CONCATENATE("          ","6272"," - ","CASH (OVER/SHORT)")</f>
        <v xml:space="preserve">          6272 - CASH (OVER/SHORT)</v>
      </c>
      <c r="C51" s="12"/>
      <c r="D51" s="8"/>
      <c r="E51" s="3"/>
      <c r="F51" s="7">
        <f t="shared" si="0"/>
        <v>0</v>
      </c>
      <c r="G51" s="3"/>
      <c r="H51" s="8">
        <v>8</v>
      </c>
      <c r="I51" s="3"/>
      <c r="J51" s="7">
        <f t="shared" si="1"/>
        <v>2.6936026936026937E-5</v>
      </c>
      <c r="K51" s="3"/>
      <c r="L51" s="8">
        <f t="shared" si="2"/>
        <v>-8</v>
      </c>
      <c r="M51" s="3"/>
      <c r="N51" s="7">
        <f t="shared" si="3"/>
        <v>-1</v>
      </c>
      <c r="O51" s="12"/>
      <c r="P51" s="8">
        <v>0</v>
      </c>
      <c r="Q51" s="3"/>
      <c r="R51" s="7">
        <f t="shared" si="4"/>
        <v>0</v>
      </c>
      <c r="S51" s="3"/>
      <c r="T51" s="8">
        <v>80</v>
      </c>
      <c r="U51" s="3"/>
      <c r="V51" s="7">
        <f t="shared" si="5"/>
        <v>1.8365472910927457E-5</v>
      </c>
      <c r="W51" s="3"/>
      <c r="X51" s="8">
        <f t="shared" si="6"/>
        <v>-80</v>
      </c>
      <c r="Y51" s="3"/>
      <c r="Z51" s="7">
        <f t="shared" si="7"/>
        <v>-1</v>
      </c>
    </row>
    <row r="52" spans="1:26" s="69" customFormat="1" ht="15" customHeight="1" outlineLevel="1" collapsed="1" x14ac:dyDescent="0.25">
      <c r="A52" s="26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45.69</v>
      </c>
      <c r="E52" s="2"/>
      <c r="F52" s="6">
        <f t="shared" si="0"/>
        <v>1.3459300286651574E-4</v>
      </c>
      <c r="G52" s="2"/>
      <c r="H52" s="2">
        <f>SUM(OSRRefH22_4x_0)</f>
        <v>135</v>
      </c>
      <c r="I52" s="2"/>
      <c r="J52" s="6">
        <f t="shared" si="1"/>
        <v>4.5454545454545455E-4</v>
      </c>
      <c r="K52" s="2"/>
      <c r="L52" s="2">
        <f t="shared" si="2"/>
        <v>-89.31</v>
      </c>
      <c r="M52" s="2"/>
      <c r="N52" s="6">
        <f t="shared" si="3"/>
        <v>-0.66155555555555556</v>
      </c>
      <c r="O52" s="14"/>
      <c r="P52" s="2">
        <f>SUM(OSRRefP22_4x_0)</f>
        <v>610.96</v>
      </c>
      <c r="Q52" s="2"/>
      <c r="R52" s="6">
        <f t="shared" si="4"/>
        <v>1.0706478429359336E-4</v>
      </c>
      <c r="S52" s="2"/>
      <c r="T52" s="2">
        <f>SUM(OSRRefT22_4x_0)</f>
        <v>1485</v>
      </c>
      <c r="U52" s="2"/>
      <c r="V52" s="6">
        <f t="shared" si="5"/>
        <v>3.4090909090909094E-4</v>
      </c>
      <c r="W52" s="2"/>
      <c r="X52" s="2">
        <f t="shared" si="6"/>
        <v>-874.04</v>
      </c>
      <c r="Y52" s="2"/>
      <c r="Z52" s="6">
        <f t="shared" si="7"/>
        <v>-0.58857912457912454</v>
      </c>
    </row>
    <row r="53" spans="1:26" s="70" customFormat="1" ht="15" hidden="1" customHeight="1" outlineLevel="2" x14ac:dyDescent="0.25">
      <c r="A53" s="25"/>
      <c r="B53" s="12" t="str">
        <f>CONCATENATE("          ","6381"," - ","BANK/CREDIT CARD FEES")</f>
        <v xml:space="preserve">          6381 - BANK/CREDIT CARD FEES</v>
      </c>
      <c r="C53" s="12"/>
      <c r="D53" s="8">
        <v>45.69</v>
      </c>
      <c r="E53" s="3"/>
      <c r="F53" s="7">
        <f t="shared" si="0"/>
        <v>1.3459300286651574E-4</v>
      </c>
      <c r="G53" s="3"/>
      <c r="H53" s="8">
        <v>135</v>
      </c>
      <c r="I53" s="3"/>
      <c r="J53" s="7">
        <f t="shared" si="1"/>
        <v>4.5454545454545455E-4</v>
      </c>
      <c r="K53" s="3"/>
      <c r="L53" s="8">
        <f t="shared" si="2"/>
        <v>-89.31</v>
      </c>
      <c r="M53" s="3"/>
      <c r="N53" s="7">
        <f t="shared" si="3"/>
        <v>-0.66155555555555556</v>
      </c>
      <c r="O53" s="12"/>
      <c r="P53" s="8">
        <v>610.96</v>
      </c>
      <c r="Q53" s="3"/>
      <c r="R53" s="7">
        <f t="shared" si="4"/>
        <v>1.0706478429359336E-4</v>
      </c>
      <c r="S53" s="3"/>
      <c r="T53" s="8">
        <v>1485</v>
      </c>
      <c r="U53" s="3"/>
      <c r="V53" s="7">
        <f t="shared" si="5"/>
        <v>3.4090909090909094E-4</v>
      </c>
      <c r="W53" s="3"/>
      <c r="X53" s="8">
        <f t="shared" si="6"/>
        <v>-874.04</v>
      </c>
      <c r="Y53" s="3"/>
      <c r="Z53" s="7">
        <f t="shared" si="7"/>
        <v>-0.58857912457912454</v>
      </c>
    </row>
    <row r="54" spans="1:26" s="69" customFormat="1" ht="15" customHeight="1" outlineLevel="1" collapsed="1" x14ac:dyDescent="0.25">
      <c r="A54" s="26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8.0570217146029154E-4</v>
      </c>
      <c r="G54" s="2"/>
      <c r="H54" s="2">
        <f>SUM(OSRRefH22_5x_0)</f>
        <v>273</v>
      </c>
      <c r="I54" s="2"/>
      <c r="J54" s="6">
        <f t="shared" si="1"/>
        <v>9.1919191919191917E-4</v>
      </c>
      <c r="K54" s="2"/>
      <c r="L54" s="2">
        <f t="shared" si="2"/>
        <v>0.50999999999999091</v>
      </c>
      <c r="M54" s="2"/>
      <c r="N54" s="6">
        <f t="shared" si="3"/>
        <v>1.8681318681318347E-3</v>
      </c>
      <c r="O54" s="14"/>
      <c r="P54" s="2">
        <f>SUM(OSRRefP22_5x_0)</f>
        <v>3008.61</v>
      </c>
      <c r="Q54" s="2"/>
      <c r="R54" s="6">
        <f t="shared" si="4"/>
        <v>5.2722957423325236E-4</v>
      </c>
      <c r="S54" s="2"/>
      <c r="T54" s="2">
        <f>SUM(OSRRefT22_5x_0)</f>
        <v>3003</v>
      </c>
      <c r="U54" s="2"/>
      <c r="V54" s="6">
        <f t="shared" si="5"/>
        <v>6.8939393939393943E-4</v>
      </c>
      <c r="W54" s="2"/>
      <c r="X54" s="2">
        <f t="shared" si="6"/>
        <v>5.6100000000001273</v>
      </c>
      <c r="Y54" s="2"/>
      <c r="Z54" s="6">
        <f t="shared" si="7"/>
        <v>1.8681318681319106E-3</v>
      </c>
    </row>
    <row r="55" spans="1:26" s="70" customFormat="1" ht="15" hidden="1" customHeight="1" outlineLevel="2" x14ac:dyDescent="0.25">
      <c r="A55" s="25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273.51</v>
      </c>
      <c r="E55" s="3"/>
      <c r="F55" s="7">
        <f t="shared" si="0"/>
        <v>8.0570217146029154E-4</v>
      </c>
      <c r="G55" s="3"/>
      <c r="H55" s="8">
        <v>273</v>
      </c>
      <c r="I55" s="3"/>
      <c r="J55" s="7">
        <f t="shared" si="1"/>
        <v>9.1919191919191917E-4</v>
      </c>
      <c r="K55" s="3"/>
      <c r="L55" s="8">
        <f t="shared" si="2"/>
        <v>0.50999999999999091</v>
      </c>
      <c r="M55" s="3"/>
      <c r="N55" s="7">
        <f t="shared" si="3"/>
        <v>1.8681318681318347E-3</v>
      </c>
      <c r="O55" s="12"/>
      <c r="P55" s="8">
        <v>3008.61</v>
      </c>
      <c r="Q55" s="3"/>
      <c r="R55" s="7">
        <f t="shared" si="4"/>
        <v>5.2722957423325236E-4</v>
      </c>
      <c r="S55" s="3"/>
      <c r="T55" s="8">
        <v>3003</v>
      </c>
      <c r="U55" s="3"/>
      <c r="V55" s="7">
        <f t="shared" si="5"/>
        <v>6.8939393939393943E-4</v>
      </c>
      <c r="W55" s="3"/>
      <c r="X55" s="8">
        <f t="shared" si="6"/>
        <v>5.6100000000001273</v>
      </c>
      <c r="Y55" s="3"/>
      <c r="Z55" s="7">
        <f t="shared" si="7"/>
        <v>1.8681318681319106E-3</v>
      </c>
    </row>
    <row r="56" spans="1:26" s="69" customFormat="1" ht="15" customHeight="1" outlineLevel="1" collapsed="1" x14ac:dyDescent="0.25">
      <c r="A56" s="26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1198.31</v>
      </c>
      <c r="E56" s="2"/>
      <c r="F56" s="6">
        <f t="shared" si="0"/>
        <v>3.5299658845474825E-3</v>
      </c>
      <c r="G56" s="2"/>
      <c r="H56" s="2">
        <f>SUM(OSRRefH22_6x_0)</f>
        <v>6500</v>
      </c>
      <c r="I56" s="2"/>
      <c r="J56" s="6">
        <f t="shared" si="1"/>
        <v>2.1885521885521887E-2</v>
      </c>
      <c r="K56" s="2"/>
      <c r="L56" s="2">
        <f t="shared" si="2"/>
        <v>-5301.6900000000005</v>
      </c>
      <c r="M56" s="2"/>
      <c r="N56" s="6">
        <f t="shared" si="3"/>
        <v>-0.81564461538461541</v>
      </c>
      <c r="O56" s="14"/>
      <c r="P56" s="2">
        <f>SUM(OSRRefP22_6x_0)</f>
        <v>22921.86</v>
      </c>
      <c r="Q56" s="2"/>
      <c r="R56" s="6">
        <f t="shared" si="4"/>
        <v>4.0168325201452564E-3</v>
      </c>
      <c r="S56" s="2"/>
      <c r="T56" s="2">
        <f>SUM(OSRRefT22_6x_0)</f>
        <v>65000</v>
      </c>
      <c r="U56" s="2"/>
      <c r="V56" s="6">
        <f t="shared" si="5"/>
        <v>1.4921946740128558E-2</v>
      </c>
      <c r="W56" s="2"/>
      <c r="X56" s="2">
        <f t="shared" si="6"/>
        <v>-42078.14</v>
      </c>
      <c r="Y56" s="2"/>
      <c r="Z56" s="6">
        <f t="shared" si="7"/>
        <v>-0.64735600000000004</v>
      </c>
    </row>
    <row r="57" spans="1:26" s="70" customFormat="1" ht="15" hidden="1" customHeight="1" outlineLevel="2" x14ac:dyDescent="0.25">
      <c r="A57" s="25"/>
      <c r="B57" s="12" t="str">
        <f>CONCATENATE("          ","6399"," - ","DONATION-ON CAMPUS")</f>
        <v xml:space="preserve">          6399 - DONATION-ON CAMPUS</v>
      </c>
      <c r="C57" s="12"/>
      <c r="D57" s="8">
        <v>1198.31</v>
      </c>
      <c r="E57" s="3"/>
      <c r="F57" s="7">
        <f t="shared" ref="F57:F89" si="8">IF(D$12=0,0,D57/D$12)</f>
        <v>3.5299658845474825E-3</v>
      </c>
      <c r="G57" s="3"/>
      <c r="H57" s="8">
        <v>6500</v>
      </c>
      <c r="I57" s="3"/>
      <c r="J57" s="7">
        <f t="shared" ref="J57:J89" si="9">IF(H$12=0,0,H57/H$12)</f>
        <v>2.1885521885521887E-2</v>
      </c>
      <c r="K57" s="3"/>
      <c r="L57" s="8">
        <f t="shared" ref="L57:L89" si="10">+D57-H57</f>
        <v>-5301.6900000000005</v>
      </c>
      <c r="M57" s="3"/>
      <c r="N57" s="7">
        <f t="shared" ref="N57:N89" si="11">IF(H57=0,0,L57/H57)</f>
        <v>-0.81564461538461541</v>
      </c>
      <c r="O57" s="12"/>
      <c r="P57" s="8">
        <v>22921.86</v>
      </c>
      <c r="Q57" s="3"/>
      <c r="R57" s="7">
        <f t="shared" ref="R57:R89" si="12">IF(P$12=0,0,P57/P$12)</f>
        <v>4.0168325201452564E-3</v>
      </c>
      <c r="S57" s="3"/>
      <c r="T57" s="8">
        <v>65000</v>
      </c>
      <c r="U57" s="3"/>
      <c r="V57" s="7">
        <f t="shared" ref="V57:V89" si="13">IF(T$12=0,0,T57/T$12)</f>
        <v>1.4921946740128558E-2</v>
      </c>
      <c r="W57" s="3"/>
      <c r="X57" s="8">
        <f t="shared" ref="X57:X89" si="14">+P57-T57</f>
        <v>-42078.14</v>
      </c>
      <c r="Y57" s="3"/>
      <c r="Z57" s="7">
        <f t="shared" ref="Z57:Z89" si="15">IF(T57=0,0,X57/T57)</f>
        <v>-0.64735600000000004</v>
      </c>
    </row>
    <row r="58" spans="1:26" s="69" customFormat="1" ht="15" customHeight="1" outlineLevel="1" collapsed="1" x14ac:dyDescent="0.25">
      <c r="A58" s="26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150</v>
      </c>
      <c r="I58" s="2"/>
      <c r="J58" s="6">
        <f t="shared" si="9"/>
        <v>5.0505050505050505E-4</v>
      </c>
      <c r="K58" s="2"/>
      <c r="L58" s="2">
        <f t="shared" si="10"/>
        <v>-150</v>
      </c>
      <c r="M58" s="2"/>
      <c r="N58" s="6">
        <f t="shared" si="11"/>
        <v>-1</v>
      </c>
      <c r="O58" s="14"/>
      <c r="P58" s="2">
        <f>SUM(OSRRefP22_7x_0)</f>
        <v>200.77</v>
      </c>
      <c r="Q58" s="2"/>
      <c r="R58" s="6">
        <f t="shared" si="12"/>
        <v>3.5182985371586907E-5</v>
      </c>
      <c r="S58" s="2"/>
      <c r="T58" s="2">
        <f>SUM(OSRRefT22_7x_0)</f>
        <v>1650</v>
      </c>
      <c r="U58" s="2"/>
      <c r="V58" s="6">
        <f t="shared" si="13"/>
        <v>3.7878787878787879E-4</v>
      </c>
      <c r="W58" s="2"/>
      <c r="X58" s="2">
        <f t="shared" si="14"/>
        <v>-1449.23</v>
      </c>
      <c r="Y58" s="2"/>
      <c r="Z58" s="6">
        <f t="shared" si="15"/>
        <v>-0.87832121212121217</v>
      </c>
    </row>
    <row r="59" spans="1:26" s="70" customFormat="1" ht="15" hidden="1" customHeight="1" outlineLevel="2" x14ac:dyDescent="0.25">
      <c r="A59" s="25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8"/>
        <v>0</v>
      </c>
      <c r="G59" s="3"/>
      <c r="H59" s="8">
        <v>150</v>
      </c>
      <c r="I59" s="3"/>
      <c r="J59" s="7">
        <f t="shared" si="9"/>
        <v>5.0505050505050505E-4</v>
      </c>
      <c r="K59" s="3"/>
      <c r="L59" s="8">
        <f t="shared" si="10"/>
        <v>-150</v>
      </c>
      <c r="M59" s="3"/>
      <c r="N59" s="7">
        <f t="shared" si="11"/>
        <v>-1</v>
      </c>
      <c r="O59" s="12"/>
      <c r="P59" s="8">
        <v>200.77</v>
      </c>
      <c r="Q59" s="3"/>
      <c r="R59" s="7">
        <f t="shared" si="12"/>
        <v>3.5182985371586907E-5</v>
      </c>
      <c r="S59" s="3"/>
      <c r="T59" s="8">
        <v>1650</v>
      </c>
      <c r="U59" s="3"/>
      <c r="V59" s="7">
        <f t="shared" si="13"/>
        <v>3.7878787878787879E-4</v>
      </c>
      <c r="W59" s="3"/>
      <c r="X59" s="8">
        <f t="shared" si="14"/>
        <v>-1449.23</v>
      </c>
      <c r="Y59" s="3"/>
      <c r="Z59" s="7">
        <f t="shared" si="15"/>
        <v>-0.87832121212121217</v>
      </c>
    </row>
    <row r="60" spans="1:26" s="69" customFormat="1" ht="15" customHeight="1" outlineLevel="1" collapsed="1" x14ac:dyDescent="0.25">
      <c r="A60" s="26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253.74</v>
      </c>
      <c r="E60" s="2"/>
      <c r="F60" s="6">
        <f t="shared" si="8"/>
        <v>7.4746396470452413E-4</v>
      </c>
      <c r="G60" s="2"/>
      <c r="H60" s="2">
        <f>SUM(OSRRefH22_8x_0)</f>
        <v>295</v>
      </c>
      <c r="I60" s="2"/>
      <c r="J60" s="6">
        <f t="shared" si="9"/>
        <v>9.9326599326599323E-4</v>
      </c>
      <c r="K60" s="2"/>
      <c r="L60" s="2">
        <f t="shared" si="10"/>
        <v>-41.259999999999991</v>
      </c>
      <c r="M60" s="2"/>
      <c r="N60" s="6">
        <f t="shared" si="11"/>
        <v>-0.139864406779661</v>
      </c>
      <c r="O60" s="14"/>
      <c r="P60" s="2">
        <f>SUM(OSRRefP22_8x_0)</f>
        <v>3624.48</v>
      </c>
      <c r="Q60" s="2"/>
      <c r="R60" s="6">
        <f t="shared" si="12"/>
        <v>6.3515478816361659E-4</v>
      </c>
      <c r="S60" s="2"/>
      <c r="T60" s="2">
        <f>SUM(OSRRefT22_8x_0)</f>
        <v>3245</v>
      </c>
      <c r="U60" s="2"/>
      <c r="V60" s="6">
        <f t="shared" si="13"/>
        <v>7.4494949494949498E-4</v>
      </c>
      <c r="W60" s="2"/>
      <c r="X60" s="2">
        <f t="shared" si="14"/>
        <v>379.48</v>
      </c>
      <c r="Y60" s="2"/>
      <c r="Z60" s="6">
        <f t="shared" si="15"/>
        <v>0.11694298921417566</v>
      </c>
    </row>
    <row r="61" spans="1:26" s="70" customFormat="1" ht="15" hidden="1" customHeight="1" outlineLevel="2" x14ac:dyDescent="0.25">
      <c r="A61" s="25"/>
      <c r="B61" s="12" t="str">
        <f>CONCATENATE("          ","6351"," - ","EQUIPMENT RENTAL")</f>
        <v xml:space="preserve">          6351 - EQUIPMENT RENTAL</v>
      </c>
      <c r="C61" s="12"/>
      <c r="D61" s="8">
        <v>253.74</v>
      </c>
      <c r="E61" s="3"/>
      <c r="F61" s="7">
        <f t="shared" si="8"/>
        <v>7.4746396470452413E-4</v>
      </c>
      <c r="G61" s="3"/>
      <c r="H61" s="8">
        <v>295</v>
      </c>
      <c r="I61" s="3"/>
      <c r="J61" s="7">
        <f t="shared" si="9"/>
        <v>9.9326599326599323E-4</v>
      </c>
      <c r="K61" s="3"/>
      <c r="L61" s="8">
        <f t="shared" si="10"/>
        <v>-41.259999999999991</v>
      </c>
      <c r="M61" s="3"/>
      <c r="N61" s="7">
        <f t="shared" si="11"/>
        <v>-0.139864406779661</v>
      </c>
      <c r="O61" s="12"/>
      <c r="P61" s="8">
        <v>3624.48</v>
      </c>
      <c r="Q61" s="3"/>
      <c r="R61" s="7">
        <f t="shared" si="12"/>
        <v>6.3515478816361659E-4</v>
      </c>
      <c r="S61" s="3"/>
      <c r="T61" s="8">
        <v>3245</v>
      </c>
      <c r="U61" s="3"/>
      <c r="V61" s="7">
        <f t="shared" si="13"/>
        <v>7.4494949494949498E-4</v>
      </c>
      <c r="W61" s="3"/>
      <c r="X61" s="8">
        <f t="shared" si="14"/>
        <v>379.48</v>
      </c>
      <c r="Y61" s="3"/>
      <c r="Z61" s="7">
        <f t="shared" si="15"/>
        <v>0.11694298921417566</v>
      </c>
    </row>
    <row r="62" spans="1:26" s="69" customFormat="1" ht="15" customHeight="1" outlineLevel="1" collapsed="1" x14ac:dyDescent="0.25">
      <c r="A62" s="26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0</v>
      </c>
      <c r="E62" s="2"/>
      <c r="F62" s="6">
        <f t="shared" si="8"/>
        <v>0</v>
      </c>
      <c r="G62" s="2"/>
      <c r="H62" s="2">
        <f>SUM(OSRRefH22_9x_0)</f>
        <v>190</v>
      </c>
      <c r="I62" s="2"/>
      <c r="J62" s="6">
        <f t="shared" si="9"/>
        <v>6.3973063973063969E-4</v>
      </c>
      <c r="K62" s="2"/>
      <c r="L62" s="2">
        <f t="shared" si="10"/>
        <v>-190</v>
      </c>
      <c r="M62" s="2"/>
      <c r="N62" s="6">
        <f t="shared" si="11"/>
        <v>-1</v>
      </c>
      <c r="O62" s="14"/>
      <c r="P62" s="2">
        <f>SUM(OSRRefP22_9x_0)</f>
        <v>4060.62</v>
      </c>
      <c r="Q62" s="2"/>
      <c r="R62" s="6">
        <f t="shared" si="12"/>
        <v>7.1158407162212091E-4</v>
      </c>
      <c r="S62" s="2"/>
      <c r="T62" s="2">
        <f>SUM(OSRRefT22_9x_0)</f>
        <v>3610</v>
      </c>
      <c r="U62" s="2"/>
      <c r="V62" s="6">
        <f t="shared" si="13"/>
        <v>8.2874196510560147E-4</v>
      </c>
      <c r="W62" s="2"/>
      <c r="X62" s="2">
        <f t="shared" si="14"/>
        <v>450.61999999999989</v>
      </c>
      <c r="Y62" s="2"/>
      <c r="Z62" s="6">
        <f t="shared" si="15"/>
        <v>0.1248254847645429</v>
      </c>
    </row>
    <row r="63" spans="1:26" s="70" customFormat="1" ht="15" hidden="1" customHeight="1" outlineLevel="2" x14ac:dyDescent="0.25">
      <c r="A63" s="25"/>
      <c r="B63" s="12" t="str">
        <f>CONCATENATE("          ","6279"," - ","GENERAL EXPENSE")</f>
        <v xml:space="preserve">          6279 - GENERAL EXPENSE</v>
      </c>
      <c r="C63" s="12"/>
      <c r="D63" s="8"/>
      <c r="E63" s="3"/>
      <c r="F63" s="7">
        <f t="shared" si="8"/>
        <v>0</v>
      </c>
      <c r="G63" s="3"/>
      <c r="H63" s="8">
        <v>190</v>
      </c>
      <c r="I63" s="3"/>
      <c r="J63" s="7">
        <f t="shared" si="9"/>
        <v>6.3973063973063969E-4</v>
      </c>
      <c r="K63" s="3"/>
      <c r="L63" s="8">
        <f t="shared" si="10"/>
        <v>-190</v>
      </c>
      <c r="M63" s="3"/>
      <c r="N63" s="7">
        <f t="shared" si="11"/>
        <v>-1</v>
      </c>
      <c r="O63" s="12"/>
      <c r="P63" s="8">
        <v>4060.62</v>
      </c>
      <c r="Q63" s="3"/>
      <c r="R63" s="7">
        <f t="shared" si="12"/>
        <v>7.1158407162212091E-4</v>
      </c>
      <c r="S63" s="3"/>
      <c r="T63" s="8">
        <v>3610</v>
      </c>
      <c r="U63" s="3"/>
      <c r="V63" s="7">
        <f t="shared" si="13"/>
        <v>8.2874196510560147E-4</v>
      </c>
      <c r="W63" s="3"/>
      <c r="X63" s="8">
        <f t="shared" si="14"/>
        <v>450.61999999999989</v>
      </c>
      <c r="Y63" s="3"/>
      <c r="Z63" s="7">
        <f t="shared" si="15"/>
        <v>0.1248254847645429</v>
      </c>
    </row>
    <row r="64" spans="1:26" s="69" customFormat="1" ht="15" customHeight="1" outlineLevel="1" collapsed="1" x14ac:dyDescent="0.25">
      <c r="A64" s="26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27427.91</v>
      </c>
      <c r="E64" s="2"/>
      <c r="F64" s="6">
        <f t="shared" si="8"/>
        <v>8.0796777615507451E-2</v>
      </c>
      <c r="G64" s="2"/>
      <c r="H64" s="2">
        <f>SUM(OSRRefH22_10x_0)</f>
        <v>19440</v>
      </c>
      <c r="I64" s="2"/>
      <c r="J64" s="6">
        <f t="shared" si="9"/>
        <v>6.545454545454546E-2</v>
      </c>
      <c r="K64" s="2"/>
      <c r="L64" s="2">
        <f t="shared" si="10"/>
        <v>7987.91</v>
      </c>
      <c r="M64" s="2"/>
      <c r="N64" s="6">
        <f t="shared" si="11"/>
        <v>0.41090072016460905</v>
      </c>
      <c r="O64" s="14"/>
      <c r="P64" s="2">
        <f>SUM(OSRRefP22_10x_0)</f>
        <v>451062.64</v>
      </c>
      <c r="Q64" s="2"/>
      <c r="R64" s="6">
        <f t="shared" si="12"/>
        <v>7.9044330650940728E-2</v>
      </c>
      <c r="S64" s="2"/>
      <c r="T64" s="2">
        <f>SUM(OSRRefT22_10x_0)</f>
        <v>342000</v>
      </c>
      <c r="U64" s="2"/>
      <c r="V64" s="6">
        <f t="shared" si="13"/>
        <v>7.8512396694214878E-2</v>
      </c>
      <c r="W64" s="2"/>
      <c r="X64" s="2">
        <f t="shared" si="14"/>
        <v>109062.64000000001</v>
      </c>
      <c r="Y64" s="2"/>
      <c r="Z64" s="6">
        <f t="shared" si="15"/>
        <v>0.31889660818713456</v>
      </c>
    </row>
    <row r="65" spans="1:26" s="70" customFormat="1" ht="15" hidden="1" customHeight="1" outlineLevel="2" x14ac:dyDescent="0.25">
      <c r="A65" s="25"/>
      <c r="B65" s="12" t="str">
        <f>CONCATENATE("          ","6387"," - ","COMMISSION DUE HOUSING")</f>
        <v xml:space="preserve">          6387 - COMMISSION DUE HOUSING</v>
      </c>
      <c r="C65" s="12"/>
      <c r="D65" s="8">
        <v>27427.91</v>
      </c>
      <c r="E65" s="3"/>
      <c r="F65" s="7">
        <f t="shared" si="8"/>
        <v>8.0796777615507451E-2</v>
      </c>
      <c r="G65" s="3"/>
      <c r="H65" s="8">
        <v>19440</v>
      </c>
      <c r="I65" s="3"/>
      <c r="J65" s="7">
        <f t="shared" si="9"/>
        <v>6.545454545454546E-2</v>
      </c>
      <c r="K65" s="3"/>
      <c r="L65" s="8">
        <f t="shared" si="10"/>
        <v>7987.91</v>
      </c>
      <c r="M65" s="3"/>
      <c r="N65" s="7">
        <f t="shared" si="11"/>
        <v>0.41090072016460905</v>
      </c>
      <c r="O65" s="12"/>
      <c r="P65" s="8">
        <v>451062.64</v>
      </c>
      <c r="Q65" s="3"/>
      <c r="R65" s="7">
        <f t="shared" si="12"/>
        <v>7.9044330650940728E-2</v>
      </c>
      <c r="S65" s="3"/>
      <c r="T65" s="8">
        <v>342000</v>
      </c>
      <c r="U65" s="3"/>
      <c r="V65" s="7">
        <f t="shared" si="13"/>
        <v>7.8512396694214878E-2</v>
      </c>
      <c r="W65" s="3"/>
      <c r="X65" s="8">
        <f t="shared" si="14"/>
        <v>109062.64000000001</v>
      </c>
      <c r="Y65" s="3"/>
      <c r="Z65" s="7">
        <f t="shared" si="15"/>
        <v>0.31889660818713456</v>
      </c>
    </row>
    <row r="66" spans="1:26" s="69" customFormat="1" ht="15" customHeight="1" outlineLevel="1" collapsed="1" x14ac:dyDescent="0.25">
      <c r="A66" s="26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165.77</v>
      </c>
      <c r="E66" s="2"/>
      <c r="F66" s="6">
        <f t="shared" si="8"/>
        <v>4.8832309225612421E-4</v>
      </c>
      <c r="G66" s="2"/>
      <c r="H66" s="2">
        <f>SUM(OSRRefH22_11x_0)</f>
        <v>200</v>
      </c>
      <c r="I66" s="2"/>
      <c r="J66" s="6">
        <f t="shared" si="9"/>
        <v>6.7340067340067344E-4</v>
      </c>
      <c r="K66" s="2"/>
      <c r="L66" s="2">
        <f t="shared" si="10"/>
        <v>-34.22999999999999</v>
      </c>
      <c r="M66" s="2"/>
      <c r="N66" s="6">
        <f t="shared" si="11"/>
        <v>-0.17114999999999994</v>
      </c>
      <c r="O66" s="14"/>
      <c r="P66" s="2">
        <f>SUM(OSRRefP22_11x_0)</f>
        <v>6090.4400000000005</v>
      </c>
      <c r="Q66" s="2"/>
      <c r="R66" s="6">
        <f t="shared" si="12"/>
        <v>1.0672902397097562E-3</v>
      </c>
      <c r="S66" s="2"/>
      <c r="T66" s="2">
        <f>SUM(OSRRefT22_11x_0)</f>
        <v>8200</v>
      </c>
      <c r="U66" s="2"/>
      <c r="V66" s="6">
        <f t="shared" si="13"/>
        <v>1.8824609733700643E-3</v>
      </c>
      <c r="W66" s="2"/>
      <c r="X66" s="2">
        <f t="shared" si="14"/>
        <v>-2109.5599999999995</v>
      </c>
      <c r="Y66" s="2"/>
      <c r="Z66" s="6">
        <f t="shared" si="15"/>
        <v>-0.25726341463414626</v>
      </c>
    </row>
    <row r="67" spans="1:26" s="70" customFormat="1" ht="15" hidden="1" customHeight="1" outlineLevel="2" x14ac:dyDescent="0.25">
      <c r="A67" s="25"/>
      <c r="B67" s="12" t="str">
        <f>CONCATENATE("          ","6373"," - ","MAINTENANCE CONTRACTS")</f>
        <v xml:space="preserve">          6373 - MAINTENANCE CONTRACTS</v>
      </c>
      <c r="C67" s="12"/>
      <c r="D67" s="8">
        <v>5.77</v>
      </c>
      <c r="E67" s="3"/>
      <c r="F67" s="7">
        <f t="shared" si="8"/>
        <v>1.6997190337925054E-5</v>
      </c>
      <c r="G67" s="3"/>
      <c r="H67" s="8"/>
      <c r="I67" s="3"/>
      <c r="J67" s="7">
        <f t="shared" si="9"/>
        <v>0</v>
      </c>
      <c r="K67" s="3"/>
      <c r="L67" s="8">
        <f t="shared" si="10"/>
        <v>5.77</v>
      </c>
      <c r="M67" s="3"/>
      <c r="N67" s="7">
        <f t="shared" si="11"/>
        <v>0</v>
      </c>
      <c r="O67" s="12"/>
      <c r="P67" s="8">
        <v>3992.41</v>
      </c>
      <c r="Q67" s="3"/>
      <c r="R67" s="7">
        <f t="shared" si="12"/>
        <v>6.9963093404082919E-4</v>
      </c>
      <c r="S67" s="3"/>
      <c r="T67" s="8">
        <v>6000</v>
      </c>
      <c r="U67" s="3"/>
      <c r="V67" s="7">
        <f t="shared" si="13"/>
        <v>1.3774104683195593E-3</v>
      </c>
      <c r="W67" s="3"/>
      <c r="X67" s="8">
        <f t="shared" si="14"/>
        <v>-2007.5900000000001</v>
      </c>
      <c r="Y67" s="3"/>
      <c r="Z67" s="7">
        <f t="shared" si="15"/>
        <v>-0.33459833333333333</v>
      </c>
    </row>
    <row r="68" spans="1:26" s="70" customFormat="1" ht="15" hidden="1" customHeight="1" outlineLevel="2" x14ac:dyDescent="0.25">
      <c r="A68" s="25"/>
      <c r="B68" s="12" t="str">
        <f>CONCATENATE("          ","6375"," - ","OUTSIDE REPAIRS &amp; MAINTENANCE")</f>
        <v xml:space="preserve">          6375 - OUTSIDE REPAIRS &amp; MAINTENANCE</v>
      </c>
      <c r="C68" s="12"/>
      <c r="D68" s="8">
        <v>160</v>
      </c>
      <c r="E68" s="3"/>
      <c r="F68" s="7">
        <f t="shared" si="8"/>
        <v>4.7132590191819912E-4</v>
      </c>
      <c r="G68" s="3"/>
      <c r="H68" s="8">
        <v>200</v>
      </c>
      <c r="I68" s="3"/>
      <c r="J68" s="7">
        <f t="shared" si="9"/>
        <v>6.7340067340067344E-4</v>
      </c>
      <c r="K68" s="3"/>
      <c r="L68" s="8">
        <f t="shared" si="10"/>
        <v>-40</v>
      </c>
      <c r="M68" s="3"/>
      <c r="N68" s="7">
        <f t="shared" si="11"/>
        <v>-0.2</v>
      </c>
      <c r="O68" s="12"/>
      <c r="P68" s="8">
        <v>2098.0300000000002</v>
      </c>
      <c r="Q68" s="3"/>
      <c r="R68" s="7">
        <f t="shared" si="12"/>
        <v>3.6765930566892702E-4</v>
      </c>
      <c r="S68" s="3"/>
      <c r="T68" s="8">
        <v>2200</v>
      </c>
      <c r="U68" s="3"/>
      <c r="V68" s="7">
        <f t="shared" si="13"/>
        <v>5.0505050505050505E-4</v>
      </c>
      <c r="W68" s="3"/>
      <c r="X68" s="8">
        <f t="shared" si="14"/>
        <v>-101.9699999999998</v>
      </c>
      <c r="Y68" s="3"/>
      <c r="Z68" s="7">
        <f t="shared" si="15"/>
        <v>-4.6349999999999912E-2</v>
      </c>
    </row>
    <row r="69" spans="1:26" s="69" customFormat="1" ht="15" customHeight="1" outlineLevel="1" collapsed="1" x14ac:dyDescent="0.25">
      <c r="A69" s="26"/>
      <c r="B69" s="14" t="str">
        <f>CONCATENATE("     ","Services                                          ")</f>
        <v xml:space="preserve">     Services                                          </v>
      </c>
      <c r="C69" s="14"/>
      <c r="D69" s="2">
        <f>SUM(OSRRefD22_12x_0)</f>
        <v>3929.4300000000003</v>
      </c>
      <c r="E69" s="2"/>
      <c r="F69" s="6">
        <f t="shared" si="8"/>
        <v>1.1575263367340183E-2</v>
      </c>
      <c r="G69" s="2"/>
      <c r="H69" s="2">
        <f>SUM(OSRRefH22_12x_0)</f>
        <v>7422</v>
      </c>
      <c r="I69" s="2"/>
      <c r="J69" s="6">
        <f t="shared" si="9"/>
        <v>2.4989898989898989E-2</v>
      </c>
      <c r="K69" s="2"/>
      <c r="L69" s="2">
        <f t="shared" si="10"/>
        <v>-3492.5699999999997</v>
      </c>
      <c r="M69" s="2"/>
      <c r="N69" s="6">
        <f t="shared" si="11"/>
        <v>-0.47056992724333058</v>
      </c>
      <c r="O69" s="14"/>
      <c r="P69" s="2">
        <f>SUM(OSRRefP22_12x_0)</f>
        <v>71349.210000000006</v>
      </c>
      <c r="Q69" s="2"/>
      <c r="R69" s="6">
        <f t="shared" si="12"/>
        <v>1.2503253532421588E-2</v>
      </c>
      <c r="S69" s="2"/>
      <c r="T69" s="2">
        <f>SUM(OSRRefT22_12x_0)</f>
        <v>80010</v>
      </c>
      <c r="U69" s="2"/>
      <c r="V69" s="6">
        <f t="shared" si="13"/>
        <v>1.8367768595041321E-2</v>
      </c>
      <c r="W69" s="2"/>
      <c r="X69" s="2">
        <f t="shared" si="14"/>
        <v>-8660.7899999999936</v>
      </c>
      <c r="Y69" s="2"/>
      <c r="Z69" s="6">
        <f t="shared" si="15"/>
        <v>-0.10824634420697404</v>
      </c>
    </row>
    <row r="70" spans="1:26" s="70" customFormat="1" ht="15" hidden="1" customHeight="1" outlineLevel="2" x14ac:dyDescent="0.25">
      <c r="A70" s="25"/>
      <c r="B70" s="12" t="str">
        <f>CONCATENATE("          ","6282"," - ","JANITORIAL/EXTERMINATOR EXPENS")</f>
        <v xml:space="preserve">          6282 - JANITORIAL/EXTERMINATOR EXPENS</v>
      </c>
      <c r="C70" s="12"/>
      <c r="D70" s="8">
        <v>459.25</v>
      </c>
      <c r="E70" s="3"/>
      <c r="F70" s="7">
        <f t="shared" si="8"/>
        <v>1.352852627849581E-3</v>
      </c>
      <c r="G70" s="3"/>
      <c r="H70" s="8">
        <v>450</v>
      </c>
      <c r="I70" s="3"/>
      <c r="J70" s="7">
        <f t="shared" si="9"/>
        <v>1.5151515151515152E-3</v>
      </c>
      <c r="K70" s="3"/>
      <c r="L70" s="8">
        <f t="shared" si="10"/>
        <v>9.25</v>
      </c>
      <c r="M70" s="3"/>
      <c r="N70" s="7">
        <f t="shared" si="11"/>
        <v>2.0555555555555556E-2</v>
      </c>
      <c r="O70" s="12"/>
      <c r="P70" s="8">
        <v>5955.3</v>
      </c>
      <c r="Q70" s="3"/>
      <c r="R70" s="7">
        <f t="shared" si="12"/>
        <v>1.0436082720695896E-3</v>
      </c>
      <c r="S70" s="3"/>
      <c r="T70" s="8">
        <v>4950</v>
      </c>
      <c r="U70" s="3"/>
      <c r="V70" s="7">
        <f t="shared" si="13"/>
        <v>1.1363636363636363E-3</v>
      </c>
      <c r="W70" s="3"/>
      <c r="X70" s="8">
        <f t="shared" si="14"/>
        <v>1005.3000000000002</v>
      </c>
      <c r="Y70" s="3"/>
      <c r="Z70" s="7">
        <f t="shared" si="15"/>
        <v>0.20309090909090913</v>
      </c>
    </row>
    <row r="71" spans="1:26" s="70" customFormat="1" ht="15" hidden="1" customHeight="1" outlineLevel="2" x14ac:dyDescent="0.25">
      <c r="A71" s="25"/>
      <c r="B71" s="12" t="str">
        <f>CONCATENATE("          ","6284"," - ","TRASH REMOVAL EXPENSE")</f>
        <v xml:space="preserve">          6284 - TRASH REMOVAL EXPENSE</v>
      </c>
      <c r="C71" s="12"/>
      <c r="D71" s="8"/>
      <c r="E71" s="3"/>
      <c r="F71" s="7">
        <f t="shared" si="8"/>
        <v>0</v>
      </c>
      <c r="G71" s="3"/>
      <c r="H71" s="8">
        <v>50</v>
      </c>
      <c r="I71" s="3"/>
      <c r="J71" s="7">
        <f t="shared" si="9"/>
        <v>1.6835016835016836E-4</v>
      </c>
      <c r="K71" s="3"/>
      <c r="L71" s="8">
        <f t="shared" si="10"/>
        <v>-50</v>
      </c>
      <c r="M71" s="3"/>
      <c r="N71" s="7">
        <f t="shared" si="11"/>
        <v>-1</v>
      </c>
      <c r="O71" s="12"/>
      <c r="P71" s="8"/>
      <c r="Q71" s="3"/>
      <c r="R71" s="7">
        <f t="shared" si="12"/>
        <v>0</v>
      </c>
      <c r="S71" s="3"/>
      <c r="T71" s="8">
        <v>550</v>
      </c>
      <c r="U71" s="3"/>
      <c r="V71" s="7">
        <f t="shared" si="13"/>
        <v>1.2626262626262626E-4</v>
      </c>
      <c r="W71" s="3"/>
      <c r="X71" s="8">
        <f t="shared" si="14"/>
        <v>-550</v>
      </c>
      <c r="Y71" s="3"/>
      <c r="Z71" s="7">
        <f t="shared" si="15"/>
        <v>-1</v>
      </c>
    </row>
    <row r="72" spans="1:26" s="70" customFormat="1" ht="15" hidden="1" customHeight="1" outlineLevel="2" x14ac:dyDescent="0.25">
      <c r="A72" s="25"/>
      <c r="B72" s="12" t="str">
        <f>CONCATENATE("          ","6285"," - ","JANITORIAL SERVICES")</f>
        <v xml:space="preserve">          6285 - JANITORIAL SERVICES</v>
      </c>
      <c r="C72" s="12"/>
      <c r="D72" s="8">
        <v>2151.42</v>
      </c>
      <c r="E72" s="3"/>
      <c r="F72" s="7">
        <f t="shared" si="8"/>
        <v>6.3376248244053253E-3</v>
      </c>
      <c r="G72" s="3"/>
      <c r="H72" s="8">
        <v>5255</v>
      </c>
      <c r="I72" s="3"/>
      <c r="J72" s="7">
        <f t="shared" si="9"/>
        <v>1.7693602693602692E-2</v>
      </c>
      <c r="K72" s="3"/>
      <c r="L72" s="8">
        <f t="shared" si="10"/>
        <v>-3103.58</v>
      </c>
      <c r="M72" s="3"/>
      <c r="N72" s="7">
        <f t="shared" si="11"/>
        <v>-0.5905956232159848</v>
      </c>
      <c r="O72" s="12"/>
      <c r="P72" s="8">
        <v>51454.46</v>
      </c>
      <c r="Q72" s="3"/>
      <c r="R72" s="7">
        <f t="shared" si="12"/>
        <v>9.0168925311695149E-3</v>
      </c>
      <c r="S72" s="3"/>
      <c r="T72" s="8">
        <v>56173</v>
      </c>
      <c r="U72" s="3"/>
      <c r="V72" s="7">
        <f t="shared" si="13"/>
        <v>1.2895546372819099E-2</v>
      </c>
      <c r="W72" s="3"/>
      <c r="X72" s="8">
        <f t="shared" si="14"/>
        <v>-4718.5400000000009</v>
      </c>
      <c r="Y72" s="3"/>
      <c r="Z72" s="7">
        <f t="shared" si="15"/>
        <v>-8.400014241717553E-2</v>
      </c>
    </row>
    <row r="73" spans="1:26" s="70" customFormat="1" ht="15" hidden="1" customHeight="1" outlineLevel="2" x14ac:dyDescent="0.25">
      <c r="A73" s="25"/>
      <c r="B73" s="12" t="str">
        <f>CONCATENATE("          ","6286"," - ","LAUNDRY EXPENSE")</f>
        <v xml:space="preserve">          6286 - LAUNDRY EXPENSE</v>
      </c>
      <c r="C73" s="12"/>
      <c r="D73" s="8">
        <v>1318.76</v>
      </c>
      <c r="E73" s="3"/>
      <c r="F73" s="7">
        <f t="shared" si="8"/>
        <v>3.8847859150852766E-3</v>
      </c>
      <c r="G73" s="3"/>
      <c r="H73" s="8">
        <v>1667</v>
      </c>
      <c r="I73" s="3"/>
      <c r="J73" s="7">
        <f t="shared" si="9"/>
        <v>5.6127946127946127E-3</v>
      </c>
      <c r="K73" s="3"/>
      <c r="L73" s="8">
        <f t="shared" si="10"/>
        <v>-348.24</v>
      </c>
      <c r="M73" s="3"/>
      <c r="N73" s="7">
        <f t="shared" si="11"/>
        <v>-0.20890221955608879</v>
      </c>
      <c r="O73" s="12"/>
      <c r="P73" s="8">
        <v>13939.45</v>
      </c>
      <c r="Q73" s="3"/>
      <c r="R73" s="7">
        <f t="shared" si="12"/>
        <v>2.4427527291824829E-3</v>
      </c>
      <c r="S73" s="3"/>
      <c r="T73" s="8">
        <v>18337</v>
      </c>
      <c r="U73" s="3"/>
      <c r="V73" s="7">
        <f t="shared" si="13"/>
        <v>4.20959595959596E-3</v>
      </c>
      <c r="W73" s="3"/>
      <c r="X73" s="8">
        <f t="shared" si="14"/>
        <v>-4397.5499999999993</v>
      </c>
      <c r="Y73" s="3"/>
      <c r="Z73" s="7">
        <f t="shared" si="15"/>
        <v>-0.23981839995637233</v>
      </c>
    </row>
    <row r="74" spans="1:26" s="69" customFormat="1" ht="15" customHeight="1" outlineLevel="1" collapsed="1" x14ac:dyDescent="0.25">
      <c r="A74" s="26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SUM(OSRRefD22_13x_0)</f>
        <v>0</v>
      </c>
      <c r="E74" s="2"/>
      <c r="F74" s="6">
        <f t="shared" si="8"/>
        <v>0</v>
      </c>
      <c r="G74" s="2"/>
      <c r="H74" s="2">
        <f>SUM(OSRRefH22_13x_0)</f>
        <v>0</v>
      </c>
      <c r="I74" s="2"/>
      <c r="J74" s="6">
        <f t="shared" si="9"/>
        <v>0</v>
      </c>
      <c r="K74" s="2"/>
      <c r="L74" s="2">
        <f t="shared" si="10"/>
        <v>0</v>
      </c>
      <c r="M74" s="2"/>
      <c r="N74" s="6">
        <f t="shared" si="11"/>
        <v>0</v>
      </c>
      <c r="O74" s="14"/>
      <c r="P74" s="2">
        <f>SUM(OSRRefP22_13x_0)</f>
        <v>0</v>
      </c>
      <c r="Q74" s="2"/>
      <c r="R74" s="6">
        <f t="shared" si="12"/>
        <v>0</v>
      </c>
      <c r="S74" s="2"/>
      <c r="T74" s="2">
        <f>SUM(OSRRefT22_13x_0)</f>
        <v>795</v>
      </c>
      <c r="U74" s="2"/>
      <c r="V74" s="6">
        <f t="shared" si="13"/>
        <v>1.8250688705234161E-4</v>
      </c>
      <c r="W74" s="2"/>
      <c r="X74" s="2">
        <f t="shared" si="14"/>
        <v>-795</v>
      </c>
      <c r="Y74" s="2"/>
      <c r="Z74" s="6">
        <f t="shared" si="15"/>
        <v>-1</v>
      </c>
    </row>
    <row r="75" spans="1:26" s="70" customFormat="1" ht="15" hidden="1" customHeight="1" outlineLevel="2" x14ac:dyDescent="0.25">
      <c r="A75" s="25"/>
      <c r="B75" s="12" t="str">
        <f>CONCATENATE("          ","6258"," - ","MEMBERSHIP DUES")</f>
        <v xml:space="preserve">          6258 - MEMBERSHIP DUES</v>
      </c>
      <c r="C75" s="12"/>
      <c r="D75" s="8"/>
      <c r="E75" s="3"/>
      <c r="F75" s="7">
        <f t="shared" si="8"/>
        <v>0</v>
      </c>
      <c r="G75" s="3"/>
      <c r="H75" s="8"/>
      <c r="I75" s="3"/>
      <c r="J75" s="7">
        <f t="shared" si="9"/>
        <v>0</v>
      </c>
      <c r="K75" s="3"/>
      <c r="L75" s="8">
        <f t="shared" si="10"/>
        <v>0</v>
      </c>
      <c r="M75" s="3"/>
      <c r="N75" s="7">
        <f t="shared" si="11"/>
        <v>0</v>
      </c>
      <c r="O75" s="12"/>
      <c r="P75" s="8"/>
      <c r="Q75" s="3"/>
      <c r="R75" s="7">
        <f t="shared" si="12"/>
        <v>0</v>
      </c>
      <c r="S75" s="3"/>
      <c r="T75" s="8">
        <v>795</v>
      </c>
      <c r="U75" s="3"/>
      <c r="V75" s="7">
        <f t="shared" si="13"/>
        <v>1.8250688705234161E-4</v>
      </c>
      <c r="W75" s="3"/>
      <c r="X75" s="8">
        <f t="shared" si="14"/>
        <v>-795</v>
      </c>
      <c r="Y75" s="3"/>
      <c r="Z75" s="7">
        <f t="shared" si="15"/>
        <v>-1</v>
      </c>
    </row>
    <row r="76" spans="1:26" s="69" customFormat="1" ht="15" customHeight="1" outlineLevel="1" collapsed="1" x14ac:dyDescent="0.25">
      <c r="A76" s="26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4873.99</v>
      </c>
      <c r="E76" s="2"/>
      <c r="F76" s="6">
        <f t="shared" si="8"/>
        <v>1.435773582931427E-2</v>
      </c>
      <c r="G76" s="2"/>
      <c r="H76" s="2">
        <f>SUM(OSRRefH22_14x_0)</f>
        <v>13066</v>
      </c>
      <c r="I76" s="2"/>
      <c r="J76" s="6">
        <f t="shared" si="9"/>
        <v>4.3993265993265994E-2</v>
      </c>
      <c r="K76" s="2"/>
      <c r="L76" s="2">
        <f t="shared" si="10"/>
        <v>-8192.01</v>
      </c>
      <c r="M76" s="2"/>
      <c r="N76" s="6">
        <f t="shared" si="11"/>
        <v>-0.62697152915965104</v>
      </c>
      <c r="O76" s="14"/>
      <c r="P76" s="2">
        <f>SUM(OSRRefP22_14x_0)</f>
        <v>144938.63</v>
      </c>
      <c r="Q76" s="2"/>
      <c r="R76" s="6">
        <f t="shared" si="12"/>
        <v>2.5399082029525562E-2</v>
      </c>
      <c r="S76" s="2"/>
      <c r="T76" s="2">
        <f>SUM(OSRRefT22_14x_0)</f>
        <v>143726</v>
      </c>
      <c r="U76" s="2"/>
      <c r="V76" s="6">
        <f t="shared" si="13"/>
        <v>3.2994949494949494E-2</v>
      </c>
      <c r="W76" s="2"/>
      <c r="X76" s="2">
        <f t="shared" si="14"/>
        <v>1212.6300000000047</v>
      </c>
      <c r="Y76" s="2"/>
      <c r="Z76" s="6">
        <f t="shared" si="15"/>
        <v>8.4370955846541657E-3</v>
      </c>
    </row>
    <row r="77" spans="1:26" s="70" customFormat="1" ht="15" hidden="1" customHeight="1" outlineLevel="2" x14ac:dyDescent="0.25">
      <c r="A77" s="25"/>
      <c r="B77" s="12" t="str">
        <f>CONCATENATE("          ","6234"," - ","EXPENDABLE SUPPLIES &amp; EQUIPMEN")</f>
        <v xml:space="preserve">          6234 - EXPENDABLE SUPPLIES &amp; EQUIPMEN</v>
      </c>
      <c r="C77" s="12"/>
      <c r="D77" s="8"/>
      <c r="E77" s="3"/>
      <c r="F77" s="7">
        <f t="shared" si="8"/>
        <v>0</v>
      </c>
      <c r="G77" s="3"/>
      <c r="H77" s="8"/>
      <c r="I77" s="3"/>
      <c r="J77" s="7">
        <f t="shared" si="9"/>
        <v>0</v>
      </c>
      <c r="K77" s="3"/>
      <c r="L77" s="8">
        <f t="shared" si="10"/>
        <v>0</v>
      </c>
      <c r="M77" s="3"/>
      <c r="N77" s="7">
        <f t="shared" si="11"/>
        <v>0</v>
      </c>
      <c r="O77" s="12"/>
      <c r="P77" s="8">
        <v>315</v>
      </c>
      <c r="Q77" s="3"/>
      <c r="R77" s="7">
        <f t="shared" si="12"/>
        <v>5.5200679344772006E-5</v>
      </c>
      <c r="S77" s="3"/>
      <c r="T77" s="8"/>
      <c r="U77" s="3"/>
      <c r="V77" s="7">
        <f t="shared" si="13"/>
        <v>0</v>
      </c>
      <c r="W77" s="3"/>
      <c r="X77" s="8">
        <f t="shared" si="14"/>
        <v>315</v>
      </c>
      <c r="Y77" s="3"/>
      <c r="Z77" s="7">
        <f t="shared" si="15"/>
        <v>0</v>
      </c>
    </row>
    <row r="78" spans="1:26" s="70" customFormat="1" ht="15" hidden="1" customHeight="1" outlineLevel="2" x14ac:dyDescent="0.25">
      <c r="A78" s="25"/>
      <c r="B78" s="12" t="str">
        <f>CONCATENATE("          ","6235"," - ","COVID-19 EXPENSES")</f>
        <v xml:space="preserve">          6235 - COVID-19 EXPENSES</v>
      </c>
      <c r="C78" s="12"/>
      <c r="D78" s="8"/>
      <c r="E78" s="3"/>
      <c r="F78" s="7">
        <f t="shared" si="8"/>
        <v>0</v>
      </c>
      <c r="G78" s="3"/>
      <c r="H78" s="8"/>
      <c r="I78" s="3"/>
      <c r="J78" s="7">
        <f t="shared" si="9"/>
        <v>0</v>
      </c>
      <c r="K78" s="3"/>
      <c r="L78" s="8">
        <f t="shared" si="10"/>
        <v>0</v>
      </c>
      <c r="M78" s="3"/>
      <c r="N78" s="7">
        <f t="shared" si="11"/>
        <v>0</v>
      </c>
      <c r="O78" s="12"/>
      <c r="P78" s="8">
        <v>158.76</v>
      </c>
      <c r="Q78" s="3"/>
      <c r="R78" s="7">
        <f t="shared" si="12"/>
        <v>2.7821142389765089E-5</v>
      </c>
      <c r="S78" s="3"/>
      <c r="T78" s="8"/>
      <c r="U78" s="3"/>
      <c r="V78" s="7">
        <f t="shared" si="13"/>
        <v>0</v>
      </c>
      <c r="W78" s="3"/>
      <c r="X78" s="8">
        <f t="shared" si="14"/>
        <v>158.76</v>
      </c>
      <c r="Y78" s="3"/>
      <c r="Z78" s="7">
        <f t="shared" si="15"/>
        <v>0</v>
      </c>
    </row>
    <row r="79" spans="1:26" s="70" customFormat="1" ht="15" hidden="1" customHeight="1" outlineLevel="2" x14ac:dyDescent="0.25">
      <c r="A79" s="25"/>
      <c r="B79" s="12" t="str">
        <f>CONCATENATE("          ","6237"," - ","JANITORIAL SUPPLIES")</f>
        <v xml:space="preserve">          6237 - JANITORIAL SUPPLIES</v>
      </c>
      <c r="C79" s="12"/>
      <c r="D79" s="8">
        <v>2153.61</v>
      </c>
      <c r="E79" s="3"/>
      <c r="F79" s="7">
        <f t="shared" si="8"/>
        <v>6.3440760976878306E-3</v>
      </c>
      <c r="G79" s="3"/>
      <c r="H79" s="8">
        <v>3750</v>
      </c>
      <c r="I79" s="3"/>
      <c r="J79" s="7">
        <f t="shared" si="9"/>
        <v>1.2626262626262626E-2</v>
      </c>
      <c r="K79" s="3"/>
      <c r="L79" s="8">
        <f t="shared" si="10"/>
        <v>-1596.3899999999999</v>
      </c>
      <c r="M79" s="3"/>
      <c r="N79" s="7">
        <f t="shared" si="11"/>
        <v>-0.42570399999999997</v>
      </c>
      <c r="O79" s="12"/>
      <c r="P79" s="8">
        <v>29852.23</v>
      </c>
      <c r="Q79" s="3"/>
      <c r="R79" s="7">
        <f t="shared" si="12"/>
        <v>5.2313123046234386E-3</v>
      </c>
      <c r="S79" s="3"/>
      <c r="T79" s="8">
        <v>41250</v>
      </c>
      <c r="U79" s="3"/>
      <c r="V79" s="7">
        <f t="shared" si="13"/>
        <v>9.46969696969697E-3</v>
      </c>
      <c r="W79" s="3"/>
      <c r="X79" s="8">
        <f t="shared" si="14"/>
        <v>-11397.77</v>
      </c>
      <c r="Y79" s="3"/>
      <c r="Z79" s="7">
        <f t="shared" si="15"/>
        <v>-0.27630957575757575</v>
      </c>
    </row>
    <row r="80" spans="1:26" s="70" customFormat="1" ht="15" hidden="1" customHeight="1" outlineLevel="2" x14ac:dyDescent="0.25">
      <c r="A80" s="25"/>
      <c r="B80" s="12" t="str">
        <f>CONCATENATE("          ","6239"," - ","KITCHEN SUPPLIES")</f>
        <v xml:space="preserve">          6239 - KITCHEN SUPPLIES</v>
      </c>
      <c r="C80" s="12"/>
      <c r="D80" s="8"/>
      <c r="E80" s="3"/>
      <c r="F80" s="7">
        <f t="shared" si="8"/>
        <v>0</v>
      </c>
      <c r="G80" s="3"/>
      <c r="H80" s="8">
        <v>1800</v>
      </c>
      <c r="I80" s="3"/>
      <c r="J80" s="7">
        <f t="shared" si="9"/>
        <v>6.0606060606060606E-3</v>
      </c>
      <c r="K80" s="3"/>
      <c r="L80" s="8">
        <f t="shared" si="10"/>
        <v>-1800</v>
      </c>
      <c r="M80" s="3"/>
      <c r="N80" s="7">
        <f t="shared" si="11"/>
        <v>-1</v>
      </c>
      <c r="O80" s="12"/>
      <c r="P80" s="8">
        <v>10926.64</v>
      </c>
      <c r="Q80" s="3"/>
      <c r="R80" s="7">
        <f t="shared" si="12"/>
        <v>1.9147871458913002E-3</v>
      </c>
      <c r="S80" s="3"/>
      <c r="T80" s="8">
        <v>19800</v>
      </c>
      <c r="U80" s="3"/>
      <c r="V80" s="7">
        <f t="shared" si="13"/>
        <v>4.5454545454545452E-3</v>
      </c>
      <c r="W80" s="3"/>
      <c r="X80" s="8">
        <f t="shared" si="14"/>
        <v>-8873.36</v>
      </c>
      <c r="Y80" s="3"/>
      <c r="Z80" s="7">
        <f t="shared" si="15"/>
        <v>-0.44814949494949496</v>
      </c>
    </row>
    <row r="81" spans="1:26" s="70" customFormat="1" ht="15" hidden="1" customHeight="1" outlineLevel="2" x14ac:dyDescent="0.25">
      <c r="A81" s="25"/>
      <c r="B81" s="12" t="str">
        <f>CONCATENATE("          ","6241"," - ","OFFICE EXPENSE")</f>
        <v xml:space="preserve">          6241 - OFFICE EXPENSE</v>
      </c>
      <c r="C81" s="12"/>
      <c r="D81" s="8">
        <v>64.239999999999995</v>
      </c>
      <c r="E81" s="3"/>
      <c r="F81" s="7">
        <f t="shared" si="8"/>
        <v>1.8923734962015694E-4</v>
      </c>
      <c r="G81" s="3"/>
      <c r="H81" s="8">
        <v>820</v>
      </c>
      <c r="I81" s="3"/>
      <c r="J81" s="7">
        <f t="shared" si="9"/>
        <v>2.7609427609427608E-3</v>
      </c>
      <c r="K81" s="3"/>
      <c r="L81" s="8">
        <f t="shared" si="10"/>
        <v>-755.76</v>
      </c>
      <c r="M81" s="3"/>
      <c r="N81" s="7">
        <f t="shared" si="11"/>
        <v>-0.9216585365853659</v>
      </c>
      <c r="O81" s="12"/>
      <c r="P81" s="8">
        <v>4075.31</v>
      </c>
      <c r="Q81" s="3"/>
      <c r="R81" s="7">
        <f t="shared" si="12"/>
        <v>7.1415835092235812E-4</v>
      </c>
      <c r="S81" s="3"/>
      <c r="T81" s="8">
        <v>9020</v>
      </c>
      <c r="U81" s="3"/>
      <c r="V81" s="7">
        <f t="shared" si="13"/>
        <v>2.0707070707070706E-3</v>
      </c>
      <c r="W81" s="3"/>
      <c r="X81" s="8">
        <f t="shared" si="14"/>
        <v>-4944.6900000000005</v>
      </c>
      <c r="Y81" s="3"/>
      <c r="Z81" s="7">
        <f t="shared" si="15"/>
        <v>-0.54819179600886925</v>
      </c>
    </row>
    <row r="82" spans="1:26" s="70" customFormat="1" ht="15" hidden="1" customHeight="1" outlineLevel="2" x14ac:dyDescent="0.25">
      <c r="A82" s="25"/>
      <c r="B82" s="12" t="str">
        <f>CONCATENATE("          ","6243"," - ","PAPER SUPPLIES")</f>
        <v xml:space="preserve">          6243 - PAPER SUPPLIES</v>
      </c>
      <c r="C82" s="12"/>
      <c r="D82" s="8">
        <v>2656.14</v>
      </c>
      <c r="E82" s="3"/>
      <c r="F82" s="7">
        <f t="shared" si="8"/>
        <v>7.8244223820062835E-3</v>
      </c>
      <c r="G82" s="3"/>
      <c r="H82" s="8">
        <v>6300</v>
      </c>
      <c r="I82" s="3"/>
      <c r="J82" s="7">
        <f t="shared" si="9"/>
        <v>2.1212121212121213E-2</v>
      </c>
      <c r="K82" s="3"/>
      <c r="L82" s="8">
        <f t="shared" si="10"/>
        <v>-3643.86</v>
      </c>
      <c r="M82" s="3"/>
      <c r="N82" s="7">
        <f t="shared" si="11"/>
        <v>-0.57839047619047623</v>
      </c>
      <c r="O82" s="12"/>
      <c r="P82" s="8">
        <v>96348.61</v>
      </c>
      <c r="Q82" s="3"/>
      <c r="R82" s="7">
        <f t="shared" si="12"/>
        <v>1.6884154685474582E-2</v>
      </c>
      <c r="S82" s="3"/>
      <c r="T82" s="8">
        <v>69300</v>
      </c>
      <c r="U82" s="3"/>
      <c r="V82" s="7">
        <f t="shared" si="13"/>
        <v>1.5909090909090907E-2</v>
      </c>
      <c r="W82" s="3"/>
      <c r="X82" s="8">
        <f t="shared" si="14"/>
        <v>27048.61</v>
      </c>
      <c r="Y82" s="3"/>
      <c r="Z82" s="7">
        <f t="shared" si="15"/>
        <v>0.39031183261183261</v>
      </c>
    </row>
    <row r="83" spans="1:26" s="70" customFormat="1" ht="15" hidden="1" customHeight="1" outlineLevel="2" x14ac:dyDescent="0.25">
      <c r="A83" s="25"/>
      <c r="B83" s="12" t="str">
        <f>CONCATENATE("          ","6244"," - ","SAFETY SUPPLY EXPENSE")</f>
        <v xml:space="preserve">          6244 - SAFETY SUPPLY EXPENSE</v>
      </c>
      <c r="C83" s="12"/>
      <c r="D83" s="8"/>
      <c r="E83" s="3"/>
      <c r="F83" s="7">
        <f t="shared" si="8"/>
        <v>0</v>
      </c>
      <c r="G83" s="3"/>
      <c r="H83" s="8">
        <v>200</v>
      </c>
      <c r="I83" s="3"/>
      <c r="J83" s="7">
        <f t="shared" si="9"/>
        <v>6.7340067340067344E-4</v>
      </c>
      <c r="K83" s="3"/>
      <c r="L83" s="8">
        <f t="shared" si="10"/>
        <v>-200</v>
      </c>
      <c r="M83" s="3"/>
      <c r="N83" s="7">
        <f t="shared" si="11"/>
        <v>-1</v>
      </c>
      <c r="O83" s="12"/>
      <c r="P83" s="8"/>
      <c r="Q83" s="3"/>
      <c r="R83" s="7">
        <f t="shared" si="12"/>
        <v>0</v>
      </c>
      <c r="S83" s="3"/>
      <c r="T83" s="8">
        <v>2200</v>
      </c>
      <c r="U83" s="3"/>
      <c r="V83" s="7">
        <f t="shared" si="13"/>
        <v>5.0505050505050505E-4</v>
      </c>
      <c r="W83" s="3"/>
      <c r="X83" s="8">
        <f t="shared" si="14"/>
        <v>-2200</v>
      </c>
      <c r="Y83" s="3"/>
      <c r="Z83" s="7">
        <f t="shared" si="15"/>
        <v>-1</v>
      </c>
    </row>
    <row r="84" spans="1:26" s="70" customFormat="1" ht="15" hidden="1" customHeight="1" outlineLevel="2" x14ac:dyDescent="0.25">
      <c r="A84" s="25"/>
      <c r="B84" s="12" t="str">
        <f>CONCATENATE("          ","6247"," - ","STORE SUPPLIES")</f>
        <v xml:space="preserve">          6247 - STORE SUPPLIES</v>
      </c>
      <c r="C84" s="12"/>
      <c r="D84" s="8"/>
      <c r="E84" s="3"/>
      <c r="F84" s="7">
        <f t="shared" si="8"/>
        <v>0</v>
      </c>
      <c r="G84" s="3"/>
      <c r="H84" s="8"/>
      <c r="I84" s="3"/>
      <c r="J84" s="7">
        <f t="shared" si="9"/>
        <v>0</v>
      </c>
      <c r="K84" s="3"/>
      <c r="L84" s="8">
        <f t="shared" si="10"/>
        <v>0</v>
      </c>
      <c r="M84" s="3"/>
      <c r="N84" s="7">
        <f t="shared" si="11"/>
        <v>0</v>
      </c>
      <c r="O84" s="12"/>
      <c r="P84" s="8">
        <v>459.51</v>
      </c>
      <c r="Q84" s="3"/>
      <c r="R84" s="7">
        <f t="shared" si="12"/>
        <v>8.0524648145130736E-5</v>
      </c>
      <c r="S84" s="3"/>
      <c r="T84" s="8"/>
      <c r="U84" s="3"/>
      <c r="V84" s="7">
        <f t="shared" si="13"/>
        <v>0</v>
      </c>
      <c r="W84" s="3"/>
      <c r="X84" s="8">
        <f t="shared" si="14"/>
        <v>459.51</v>
      </c>
      <c r="Y84" s="3"/>
      <c r="Z84" s="7">
        <f t="shared" si="15"/>
        <v>0</v>
      </c>
    </row>
    <row r="85" spans="1:26" s="70" customFormat="1" ht="15" hidden="1" customHeight="1" outlineLevel="2" x14ac:dyDescent="0.25">
      <c r="A85" s="25"/>
      <c r="B85" s="12" t="str">
        <f>CONCATENATE("          ","6248"," - ","UNIFORMS")</f>
        <v xml:space="preserve">          6248 - UNIFORMS</v>
      </c>
      <c r="C85" s="12"/>
      <c r="D85" s="8"/>
      <c r="E85" s="3"/>
      <c r="F85" s="7">
        <f t="shared" si="8"/>
        <v>0</v>
      </c>
      <c r="G85" s="3"/>
      <c r="H85" s="8">
        <v>196</v>
      </c>
      <c r="I85" s="3"/>
      <c r="J85" s="7">
        <f t="shared" si="9"/>
        <v>6.5993265993265996E-4</v>
      </c>
      <c r="K85" s="3"/>
      <c r="L85" s="8">
        <f t="shared" si="10"/>
        <v>-196</v>
      </c>
      <c r="M85" s="3"/>
      <c r="N85" s="7">
        <f t="shared" si="11"/>
        <v>-1</v>
      </c>
      <c r="O85" s="12"/>
      <c r="P85" s="8">
        <v>2802.57</v>
      </c>
      <c r="Q85" s="3"/>
      <c r="R85" s="7">
        <f t="shared" si="12"/>
        <v>4.9112307273421491E-4</v>
      </c>
      <c r="S85" s="3"/>
      <c r="T85" s="8">
        <v>2156</v>
      </c>
      <c r="U85" s="3"/>
      <c r="V85" s="7">
        <f t="shared" si="13"/>
        <v>4.9494949494949497E-4</v>
      </c>
      <c r="W85" s="3"/>
      <c r="X85" s="8">
        <f t="shared" si="14"/>
        <v>646.57000000000016</v>
      </c>
      <c r="Y85" s="3"/>
      <c r="Z85" s="7">
        <f t="shared" si="15"/>
        <v>0.29989332096474963</v>
      </c>
    </row>
    <row r="86" spans="1:26" s="69" customFormat="1" ht="15" customHeight="1" outlineLevel="1" collapsed="1" x14ac:dyDescent="0.25">
      <c r="A86" s="26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309</v>
      </c>
      <c r="E86" s="2"/>
      <c r="F86" s="6">
        <f t="shared" si="8"/>
        <v>9.1024814807952206E-4</v>
      </c>
      <c r="G86" s="2"/>
      <c r="H86" s="2">
        <f>SUM(OSRRefH22_15x_0)</f>
        <v>218</v>
      </c>
      <c r="I86" s="2"/>
      <c r="J86" s="6">
        <f t="shared" si="9"/>
        <v>7.3400673400673402E-4</v>
      </c>
      <c r="K86" s="2"/>
      <c r="L86" s="2">
        <f t="shared" si="10"/>
        <v>91</v>
      </c>
      <c r="M86" s="2"/>
      <c r="N86" s="6">
        <f t="shared" si="11"/>
        <v>0.41743119266055045</v>
      </c>
      <c r="O86" s="14"/>
      <c r="P86" s="2">
        <f>SUM(OSRRefP22_15x_0)</f>
        <v>3457</v>
      </c>
      <c r="Q86" s="2"/>
      <c r="R86" s="6">
        <f t="shared" si="12"/>
        <v>6.0580555077738676E-4</v>
      </c>
      <c r="S86" s="2"/>
      <c r="T86" s="2">
        <f>SUM(OSRRefT22_15x_0)</f>
        <v>2398</v>
      </c>
      <c r="U86" s="2"/>
      <c r="V86" s="6">
        <f t="shared" si="13"/>
        <v>5.5050505050505052E-4</v>
      </c>
      <c r="W86" s="2"/>
      <c r="X86" s="2">
        <f t="shared" si="14"/>
        <v>1059</v>
      </c>
      <c r="Y86" s="2"/>
      <c r="Z86" s="6">
        <f t="shared" si="15"/>
        <v>0.44161801501251041</v>
      </c>
    </row>
    <row r="87" spans="1:26" s="70" customFormat="1" ht="15" hidden="1" customHeight="1" outlineLevel="2" x14ac:dyDescent="0.25">
      <c r="A87" s="25"/>
      <c r="B87" s="12" t="str">
        <f>CONCATENATE("          ","6309"," - ","TELEPHONE")</f>
        <v xml:space="preserve">          6309 - TELEPHONE</v>
      </c>
      <c r="C87" s="12"/>
      <c r="D87" s="8">
        <v>309</v>
      </c>
      <c r="E87" s="3"/>
      <c r="F87" s="7">
        <f t="shared" si="8"/>
        <v>9.1024814807952206E-4</v>
      </c>
      <c r="G87" s="3"/>
      <c r="H87" s="8">
        <v>218</v>
      </c>
      <c r="I87" s="3"/>
      <c r="J87" s="7">
        <f t="shared" si="9"/>
        <v>7.3400673400673402E-4</v>
      </c>
      <c r="K87" s="3"/>
      <c r="L87" s="8">
        <f t="shared" si="10"/>
        <v>91</v>
      </c>
      <c r="M87" s="3"/>
      <c r="N87" s="7">
        <f t="shared" si="11"/>
        <v>0.41743119266055045</v>
      </c>
      <c r="O87" s="12"/>
      <c r="P87" s="8">
        <v>3457</v>
      </c>
      <c r="Q87" s="3"/>
      <c r="R87" s="7">
        <f t="shared" si="12"/>
        <v>6.0580555077738676E-4</v>
      </c>
      <c r="S87" s="3"/>
      <c r="T87" s="8">
        <v>2398</v>
      </c>
      <c r="U87" s="3"/>
      <c r="V87" s="7">
        <f t="shared" si="13"/>
        <v>5.5050505050505052E-4</v>
      </c>
      <c r="W87" s="3"/>
      <c r="X87" s="8">
        <f t="shared" si="14"/>
        <v>1059</v>
      </c>
      <c r="Y87" s="3"/>
      <c r="Z87" s="7">
        <f t="shared" si="15"/>
        <v>0.44161801501251041</v>
      </c>
    </row>
    <row r="88" spans="1:26" s="69" customFormat="1" ht="15" customHeight="1" outlineLevel="1" collapsed="1" x14ac:dyDescent="0.25">
      <c r="A88" s="26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612.79</v>
      </c>
      <c r="E88" s="2"/>
      <c r="F88" s="6">
        <f t="shared" si="8"/>
        <v>1.8051487464778328E-3</v>
      </c>
      <c r="G88" s="2"/>
      <c r="H88" s="2">
        <f>SUM(OSRRefH22_16x_0)</f>
        <v>150</v>
      </c>
      <c r="I88" s="2"/>
      <c r="J88" s="6">
        <f t="shared" si="9"/>
        <v>5.0505050505050505E-4</v>
      </c>
      <c r="K88" s="2"/>
      <c r="L88" s="2">
        <f t="shared" si="10"/>
        <v>462.78999999999996</v>
      </c>
      <c r="M88" s="2"/>
      <c r="N88" s="6">
        <f t="shared" si="11"/>
        <v>3.0852666666666666</v>
      </c>
      <c r="O88" s="14"/>
      <c r="P88" s="2">
        <f>SUM(OSRRefP22_16x_0)</f>
        <v>1169.79</v>
      </c>
      <c r="Q88" s="2"/>
      <c r="R88" s="6">
        <f t="shared" si="12"/>
        <v>2.0499429425625663E-4</v>
      </c>
      <c r="S88" s="2"/>
      <c r="T88" s="2">
        <f>SUM(OSRRefT22_16x_0)</f>
        <v>1850</v>
      </c>
      <c r="U88" s="2"/>
      <c r="V88" s="6">
        <f t="shared" si="13"/>
        <v>4.2470156106519743E-4</v>
      </c>
      <c r="W88" s="2"/>
      <c r="X88" s="2">
        <f t="shared" si="14"/>
        <v>-680.21</v>
      </c>
      <c r="Y88" s="2"/>
      <c r="Z88" s="6">
        <f t="shared" si="15"/>
        <v>-0.36768108108108111</v>
      </c>
    </row>
    <row r="89" spans="1:26" s="70" customFormat="1" ht="15" hidden="1" customHeight="1" outlineLevel="2" x14ac:dyDescent="0.25">
      <c r="A89" s="25"/>
      <c r="B89" s="12" t="str">
        <f>CONCATENATE("          ","6376"," - ","TRAINING")</f>
        <v xml:space="preserve">          6376 - TRAINING</v>
      </c>
      <c r="C89" s="12"/>
      <c r="D89" s="8">
        <v>612.79</v>
      </c>
      <c r="E89" s="3"/>
      <c r="F89" s="7">
        <f t="shared" si="8"/>
        <v>1.8051487464778328E-3</v>
      </c>
      <c r="G89" s="3"/>
      <c r="H89" s="8">
        <v>150</v>
      </c>
      <c r="I89" s="3"/>
      <c r="J89" s="7">
        <f t="shared" si="9"/>
        <v>5.0505050505050505E-4</v>
      </c>
      <c r="K89" s="3"/>
      <c r="L89" s="8">
        <f t="shared" si="10"/>
        <v>462.78999999999996</v>
      </c>
      <c r="M89" s="3"/>
      <c r="N89" s="7">
        <f t="shared" si="11"/>
        <v>3.0852666666666666</v>
      </c>
      <c r="O89" s="12"/>
      <c r="P89" s="8">
        <v>1169.79</v>
      </c>
      <c r="Q89" s="3"/>
      <c r="R89" s="7">
        <f t="shared" si="12"/>
        <v>2.0499429425625663E-4</v>
      </c>
      <c r="S89" s="3"/>
      <c r="T89" s="8">
        <v>1850</v>
      </c>
      <c r="U89" s="3"/>
      <c r="V89" s="7">
        <f t="shared" si="13"/>
        <v>4.2470156106519743E-4</v>
      </c>
      <c r="W89" s="3"/>
      <c r="X89" s="8">
        <f t="shared" si="14"/>
        <v>-680.21</v>
      </c>
      <c r="Y89" s="3"/>
      <c r="Z89" s="7">
        <f t="shared" si="15"/>
        <v>-0.36768108108108111</v>
      </c>
    </row>
    <row r="90" spans="1:26" s="65" customFormat="1" ht="15" customHeight="1" x14ac:dyDescent="0.25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x14ac:dyDescent="0.25">
      <c r="A91" s="11"/>
      <c r="B91" s="27" t="s">
        <v>291</v>
      </c>
      <c r="C91" s="11"/>
      <c r="D91" s="5">
        <f>SUM(0)</f>
        <v>0</v>
      </c>
      <c r="E91" s="5"/>
      <c r="F91" s="13">
        <f>IF(D$12=0,0,D91/D$12)</f>
        <v>0</v>
      </c>
      <c r="G91" s="5"/>
      <c r="H91" s="5">
        <f>SUM(0)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SUM(0)</f>
        <v>0</v>
      </c>
      <c r="Q91" s="5"/>
      <c r="R91" s="13">
        <f>IF(P$12=0,0,P91/P$12)</f>
        <v>0</v>
      </c>
      <c r="S91" s="5"/>
      <c r="T91" s="5">
        <f>SUM(0)</f>
        <v>0</v>
      </c>
      <c r="U91" s="5"/>
      <c r="V91" s="13">
        <f>IF(T$12=0,0,T91/T$12)</f>
        <v>0</v>
      </c>
      <c r="W91" s="5"/>
      <c r="X91" s="5">
        <f>+P91-T91</f>
        <v>0</v>
      </c>
      <c r="Y91" s="5"/>
      <c r="Z91" s="13">
        <f>IF(T91=0,0,X91/T91)</f>
        <v>0</v>
      </c>
    </row>
    <row r="92" spans="1:26" ht="15" customHeight="1" x14ac:dyDescent="0.25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25">
      <c r="A93" s="11"/>
      <c r="B93" s="28" t="s">
        <v>292</v>
      </c>
      <c r="C93" s="28"/>
      <c r="D93" s="22">
        <f>+D23-D25+D91</f>
        <v>129017.1</v>
      </c>
      <c r="E93" s="15"/>
      <c r="F93" s="21">
        <f>IF(D$12=0,0,D93/D$12)</f>
        <v>0.38005688137731558</v>
      </c>
      <c r="G93" s="15"/>
      <c r="H93" s="22">
        <f>+H23-H25+H91</f>
        <v>38032.124308780069</v>
      </c>
      <c r="I93" s="15"/>
      <c r="J93" s="21">
        <f>IF(H$12=0,0,H93/H$12)</f>
        <v>0.12805429060195309</v>
      </c>
      <c r="K93" s="16"/>
      <c r="L93" s="22">
        <f>+D93-H93</f>
        <v>90984.975691219937</v>
      </c>
      <c r="M93" s="16"/>
      <c r="N93" s="21">
        <f>IF(H93=0,0,L93/H93)</f>
        <v>2.3923190551366389</v>
      </c>
      <c r="O93" s="27"/>
      <c r="P93" s="22">
        <f>+P23-P25+P91</f>
        <v>2329704.5499999998</v>
      </c>
      <c r="Q93" s="15"/>
      <c r="R93" s="21">
        <f>IF(P$12=0,0,P93/P$12)</f>
        <v>0.40825801216700425</v>
      </c>
      <c r="S93" s="15"/>
      <c r="T93" s="22">
        <f>+T23-T25+T91</f>
        <v>820156.01970536169</v>
      </c>
      <c r="U93" s="15"/>
      <c r="V93" s="21">
        <f>IF(T$12=0,0,T93/T$12)</f>
        <v>0.18828191453291132</v>
      </c>
      <c r="W93" s="16"/>
      <c r="X93" s="22">
        <f>+P93-T93</f>
        <v>1509548.5302946381</v>
      </c>
      <c r="Y93" s="16"/>
      <c r="Z93" s="21">
        <f>IF(T93=0,0,X93/T93)</f>
        <v>1.8405626417726451</v>
      </c>
    </row>
    <row r="94" spans="1:26" ht="15" customHeight="1" x14ac:dyDescent="0.25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25">
      <c r="A95" s="49"/>
      <c r="B95" s="11" t="s">
        <v>293</v>
      </c>
      <c r="C95" s="11"/>
      <c r="D95" s="5">
        <v>33557.1</v>
      </c>
      <c r="E95" s="5"/>
      <c r="F95" s="13">
        <f>IF(D$12=0,0,D95/D$12)</f>
        <v>9.8852065145369997E-2</v>
      </c>
      <c r="G95" s="5"/>
      <c r="H95" s="5">
        <v>40664</v>
      </c>
      <c r="I95" s="5"/>
      <c r="J95" s="13">
        <f>IF(H$12=0,0,H95/H$12)</f>
        <v>0.13691582491582491</v>
      </c>
      <c r="K95" s="5"/>
      <c r="L95" s="5">
        <f>+D95-H95</f>
        <v>-7106.9000000000015</v>
      </c>
      <c r="M95" s="5"/>
      <c r="N95" s="13">
        <f>IF(H95=0,0,L95/H95)</f>
        <v>-0.17477129647845763</v>
      </c>
      <c r="O95" s="11"/>
      <c r="P95" s="5">
        <v>641549.82999999996</v>
      </c>
      <c r="Q95" s="5"/>
      <c r="R95" s="13">
        <f>IF(P$12=0,0,P95/P$12)</f>
        <v>0.11242535380800948</v>
      </c>
      <c r="S95" s="5"/>
      <c r="T95" s="5">
        <v>539980</v>
      </c>
      <c r="U95" s="5"/>
      <c r="V95" s="13">
        <f>IF(T$12=0,0,T95/T$12)</f>
        <v>0.1239623507805326</v>
      </c>
      <c r="W95" s="5"/>
      <c r="X95" s="5">
        <f>+P95-T95</f>
        <v>101569.82999999996</v>
      </c>
      <c r="Y95" s="5"/>
      <c r="Z95" s="13">
        <f>IF(T95=0,0,X95/T95)</f>
        <v>0.18809924441645978</v>
      </c>
    </row>
    <row r="96" spans="1:26" ht="15" customHeight="1" x14ac:dyDescent="0.25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25">
      <c r="A97" s="11"/>
      <c r="B97" s="28" t="s">
        <v>294</v>
      </c>
      <c r="C97" s="28"/>
      <c r="D97" s="34">
        <f>+D93-D95</f>
        <v>95460</v>
      </c>
      <c r="E97" s="15"/>
      <c r="F97" s="32">
        <f>IF(D$12=0,0,D97/D$12)</f>
        <v>0.28120481623194554</v>
      </c>
      <c r="G97" s="15"/>
      <c r="H97" s="34">
        <f>+H93-H95</f>
        <v>-2631.8756912199315</v>
      </c>
      <c r="I97" s="15"/>
      <c r="J97" s="32">
        <f>IF(H$12=0,0,H97/H$12)</f>
        <v>-8.8615343138718234E-3</v>
      </c>
      <c r="K97" s="16"/>
      <c r="L97" s="34">
        <f>D97-H97</f>
        <v>98091.875691219931</v>
      </c>
      <c r="M97" s="16"/>
      <c r="N97" s="32">
        <f>IF(H97=0,0,L97/H97)</f>
        <v>-37.270710018128639</v>
      </c>
      <c r="O97" s="27"/>
      <c r="P97" s="34">
        <f>+P93-P95</f>
        <v>1688154.7199999997</v>
      </c>
      <c r="Q97" s="15"/>
      <c r="R97" s="32">
        <f>IF(P$12=0,0,P97/P$12)</f>
        <v>0.29583265835899475</v>
      </c>
      <c r="S97" s="15"/>
      <c r="T97" s="34">
        <f>+T93-T95</f>
        <v>280176.01970536169</v>
      </c>
      <c r="U97" s="15"/>
      <c r="V97" s="32">
        <f>IF(T$12=0,0,T97/T$12)</f>
        <v>6.4319563752378711E-2</v>
      </c>
      <c r="W97" s="16"/>
      <c r="X97" s="34">
        <f>P97-T97</f>
        <v>1407978.7002946381</v>
      </c>
      <c r="Y97" s="16"/>
      <c r="Z97" s="32">
        <f>IF(T97=0,0,X97/T97)</f>
        <v>5.0253362217626432</v>
      </c>
    </row>
    <row r="98" spans="1:26" ht="15" customHeight="1" x14ac:dyDescent="0.25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25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25">
      <c r="A100" s="11"/>
      <c r="B100" s="28" t="s">
        <v>297</v>
      </c>
      <c r="C100" s="28"/>
      <c r="D100" s="30">
        <f>SUM(D97:D99)</f>
        <v>95460</v>
      </c>
      <c r="E100" s="15"/>
      <c r="F100" s="33">
        <f>IF(D$12=0,0,D100/D$12)</f>
        <v>0.28120481623194554</v>
      </c>
      <c r="G100" s="15"/>
      <c r="H100" s="30">
        <f>SUM(H97:H99)</f>
        <v>-2631.8756912199315</v>
      </c>
      <c r="I100" s="15"/>
      <c r="J100" s="33">
        <f>IF(H$12=0,0,H100/H$12)</f>
        <v>-8.8615343138718234E-3</v>
      </c>
      <c r="K100" s="16"/>
      <c r="L100" s="30">
        <f>+D100-H100</f>
        <v>98091.875691219931</v>
      </c>
      <c r="M100" s="16"/>
      <c r="N100" s="33">
        <f>IF(H100=0,0,L100/H100)</f>
        <v>-37.270710018128639</v>
      </c>
      <c r="O100" s="27"/>
      <c r="P100" s="30">
        <f>SUM(P97:P99)</f>
        <v>1688154.7199999997</v>
      </c>
      <c r="Q100" s="15"/>
      <c r="R100" s="33">
        <f>IF(P$12=0,0,P100/P$12)</f>
        <v>0.29583265835899475</v>
      </c>
      <c r="S100" s="15"/>
      <c r="T100" s="30">
        <f>SUM(T97:T99)</f>
        <v>280176.01970536169</v>
      </c>
      <c r="U100" s="15"/>
      <c r="V100" s="33">
        <f>IF(T$12=0,0,T100/T$12)</f>
        <v>6.4319563752378711E-2</v>
      </c>
      <c r="W100" s="16"/>
      <c r="X100" s="30">
        <f>+P100-T100</f>
        <v>1407978.7002946381</v>
      </c>
      <c r="Y100" s="16"/>
      <c r="Z100" s="33">
        <f>IF(T100=0,0,X100/T100)</f>
        <v>5.0253362217626432</v>
      </c>
    </row>
    <row r="101" spans="1:26" ht="15" customHeight="1" x14ac:dyDescent="0.25">
      <c r="A101" s="10"/>
      <c r="C101" s="10"/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A102" s="10"/>
      <c r="B102" s="54">
        <v>44727.874527581022</v>
      </c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A103" s="10"/>
      <c r="B103" s="50" t="s">
        <v>298</v>
      </c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25">
      <c r="A104" s="10"/>
      <c r="B104" s="58"/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  <row r="105" spans="1:26" ht="15" customHeight="1" x14ac:dyDescent="0.25">
      <c r="D105" s="18"/>
      <c r="E105" s="18"/>
      <c r="G105" s="18"/>
      <c r="H105" s="18"/>
      <c r="I105" s="18"/>
      <c r="J105" s="40"/>
      <c r="K105" s="18"/>
      <c r="L105" s="18"/>
      <c r="M105" s="18"/>
      <c r="P105" s="18"/>
      <c r="Q105" s="18"/>
      <c r="R105" s="40"/>
      <c r="S105" s="18"/>
      <c r="T105" s="18"/>
      <c r="U105" s="18"/>
      <c r="V105" s="40"/>
      <c r="W105" s="18"/>
      <c r="X105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F7EBE-7CCC-3311-C84B-D19F3F145576}">
  <sheetPr>
    <tabColor rgb="FF92D050"/>
    <outlinePr summaryBelow="0" summaryRight="0"/>
  </sheetPr>
  <dimension ref="A2:Z10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","450"," - ","Beachside Dining Hall")</f>
        <v>Department 450 - Beachside Dining Hall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127613.42</v>
      </c>
      <c r="E12" s="5"/>
      <c r="F12" s="13"/>
      <c r="G12" s="5"/>
      <c r="H12" s="5">
        <f>SUM(OSRRefH13x_0)</f>
        <v>64800</v>
      </c>
      <c r="I12" s="5"/>
      <c r="J12" s="13"/>
      <c r="K12" s="5"/>
      <c r="L12" s="5">
        <f>+D12-H12</f>
        <v>62813.42</v>
      </c>
      <c r="M12" s="5"/>
      <c r="N12" s="13">
        <f>IF(H12=0,0,L12/H12)</f>
        <v>0.9693429012345679</v>
      </c>
      <c r="O12" s="11"/>
      <c r="P12" s="5">
        <f>SUM(OSRRefP13x_0)</f>
        <v>1977098.7000000002</v>
      </c>
      <c r="Q12" s="5"/>
      <c r="R12" s="13"/>
      <c r="S12" s="5"/>
      <c r="T12" s="5">
        <f>SUM(OSRRefT13x_0)</f>
        <v>950400</v>
      </c>
      <c r="U12" s="5"/>
      <c r="V12" s="13"/>
      <c r="W12" s="5"/>
      <c r="X12" s="5">
        <f>+P12-T12</f>
        <v>1026698.7000000002</v>
      </c>
      <c r="Y12" s="5"/>
      <c r="Z12" s="13">
        <f>IF(T12=0,0,X12/T12)</f>
        <v>1.080280618686869</v>
      </c>
    </row>
    <row r="13" spans="1:26" s="70" customFormat="1" ht="15" hidden="1" customHeight="1" outlineLevel="1" x14ac:dyDescent="0.25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0</f>
        <v>0</v>
      </c>
      <c r="E13" s="3"/>
      <c r="F13" s="20"/>
      <c r="G13" s="3"/>
      <c r="H13" s="3"/>
      <c r="I13" s="3"/>
      <c r="J13" s="20"/>
      <c r="K13" s="3"/>
      <c r="L13" s="3">
        <f>+D13-H13</f>
        <v>0</v>
      </c>
      <c r="M13" s="3"/>
      <c r="N13" s="20">
        <f>IF(H13=0,0,L13/H13)</f>
        <v>0</v>
      </c>
      <c r="O13" s="12"/>
      <c r="P13" s="3">
        <f>--354.32</f>
        <v>354.32</v>
      </c>
      <c r="Q13" s="3"/>
      <c r="R13" s="20"/>
      <c r="S13" s="3"/>
      <c r="T13" s="3"/>
      <c r="U13" s="3"/>
      <c r="V13" s="20"/>
      <c r="W13" s="3"/>
      <c r="X13" s="3">
        <f>+P13-T13</f>
        <v>354.32</v>
      </c>
      <c r="Y13" s="3"/>
      <c r="Z13" s="20">
        <f>IF(T13=0,0,X13/T13)</f>
        <v>0</v>
      </c>
    </row>
    <row r="14" spans="1:26" s="70" customFormat="1" ht="15" hidden="1" customHeight="1" outlineLevel="1" x14ac:dyDescent="0.25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64800</v>
      </c>
      <c r="I14" s="3"/>
      <c r="J14" s="20"/>
      <c r="K14" s="3"/>
      <c r="L14" s="3">
        <f>+D14-H14</f>
        <v>-64800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950400</v>
      </c>
      <c r="U14" s="3"/>
      <c r="V14" s="20"/>
      <c r="W14" s="3"/>
      <c r="X14" s="3">
        <f>+P14-T14</f>
        <v>-950400</v>
      </c>
      <c r="Y14" s="3"/>
      <c r="Z14" s="20">
        <f>IF(T14=0,0,X14/T14)</f>
        <v>-1</v>
      </c>
    </row>
    <row r="15" spans="1:26" s="70" customFormat="1" ht="15" hidden="1" customHeight="1" outlineLevel="1" x14ac:dyDescent="0.25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--127002.42</f>
        <v>127002.42</v>
      </c>
      <c r="E15" s="3"/>
      <c r="F15" s="20"/>
      <c r="G15" s="3"/>
      <c r="H15" s="3"/>
      <c r="I15" s="3"/>
      <c r="J15" s="20"/>
      <c r="K15" s="3"/>
      <c r="L15" s="3">
        <f>+D15-H15</f>
        <v>127002.42</v>
      </c>
      <c r="M15" s="3"/>
      <c r="N15" s="20">
        <f>IF(H15=0,0,L15/H15)</f>
        <v>0</v>
      </c>
      <c r="O15" s="12"/>
      <c r="P15" s="3">
        <f>--1967496.07</f>
        <v>1967496.07</v>
      </c>
      <c r="Q15" s="3"/>
      <c r="R15" s="20"/>
      <c r="S15" s="3"/>
      <c r="T15" s="3"/>
      <c r="U15" s="3"/>
      <c r="V15" s="20"/>
      <c r="W15" s="3"/>
      <c r="X15" s="3">
        <f>+P15-T15</f>
        <v>1967496.07</v>
      </c>
      <c r="Y15" s="3"/>
      <c r="Z15" s="20">
        <f>IF(T15=0,0,X15/T15)</f>
        <v>0</v>
      </c>
    </row>
    <row r="16" spans="1:26" s="70" customFormat="1" ht="15" hidden="1" customHeight="1" outlineLevel="1" x14ac:dyDescent="0.25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--611</f>
        <v>611</v>
      </c>
      <c r="E16" s="3"/>
      <c r="F16" s="20"/>
      <c r="G16" s="3"/>
      <c r="H16" s="3"/>
      <c r="I16" s="3"/>
      <c r="J16" s="20"/>
      <c r="K16" s="3"/>
      <c r="L16" s="3">
        <f>+D16-H16</f>
        <v>611</v>
      </c>
      <c r="M16" s="3"/>
      <c r="N16" s="20">
        <f>IF(H16=0,0,L16/H16)</f>
        <v>0</v>
      </c>
      <c r="O16" s="12"/>
      <c r="P16" s="3">
        <f>--9248.31</f>
        <v>9248.31</v>
      </c>
      <c r="Q16" s="3"/>
      <c r="R16" s="20"/>
      <c r="S16" s="3"/>
      <c r="T16" s="3"/>
      <c r="U16" s="3"/>
      <c r="V16" s="20"/>
      <c r="W16" s="3"/>
      <c r="X16" s="3">
        <f>+P16-T16</f>
        <v>9248.31</v>
      </c>
      <c r="Y16" s="3"/>
      <c r="Z16" s="20">
        <f>IF(T16=0,0,X16/T16)</f>
        <v>0</v>
      </c>
    </row>
    <row r="17" spans="1:26" ht="15" customHeight="1" x14ac:dyDescent="0.25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25">
      <c r="A18" s="11"/>
      <c r="B18" s="27" t="s">
        <v>288</v>
      </c>
      <c r="C18" s="11"/>
      <c r="D18" s="5">
        <f>SUM(OSRRefD16x_0)</f>
        <v>35140.910000000003</v>
      </c>
      <c r="E18" s="5"/>
      <c r="F18" s="13">
        <f>IF(D$12=0,0,D18/D$12)</f>
        <v>0.27537001986154752</v>
      </c>
      <c r="G18" s="5"/>
      <c r="H18" s="5">
        <f>SUM(OSRRefH16x_0)</f>
        <v>14256</v>
      </c>
      <c r="I18" s="5"/>
      <c r="J18" s="13">
        <f>IF(H$12=0,0,H18/H$12)</f>
        <v>0.22</v>
      </c>
      <c r="K18" s="5"/>
      <c r="L18" s="5">
        <f>+D18-H18</f>
        <v>20884.910000000003</v>
      </c>
      <c r="M18" s="5"/>
      <c r="N18" s="13">
        <f>IF(H18=0,0,L18/H18)</f>
        <v>1.464990881032548</v>
      </c>
      <c r="O18" s="11"/>
      <c r="P18" s="5">
        <f>SUM(OSRRefP16x_0)</f>
        <v>467685.56</v>
      </c>
      <c r="Q18" s="5"/>
      <c r="R18" s="13">
        <f>IF(P$12=0,0,P18/P$12)</f>
        <v>0.23655144783616516</v>
      </c>
      <c r="S18" s="5"/>
      <c r="T18" s="5">
        <f>SUM(OSRRefT16x_0)</f>
        <v>244057</v>
      </c>
      <c r="U18" s="5"/>
      <c r="V18" s="13">
        <f>IF(T$12=0,0,T18/T$12)</f>
        <v>0.25679398148148147</v>
      </c>
      <c r="W18" s="5"/>
      <c r="X18" s="5">
        <f>+P18-T18</f>
        <v>223628.56</v>
      </c>
      <c r="Y18" s="5"/>
      <c r="Z18" s="13">
        <f>IF(T18=0,0,X18/T18)</f>
        <v>0.91629643894663948</v>
      </c>
    </row>
    <row r="19" spans="1:26" s="70" customFormat="1" ht="15" hidden="1" customHeight="1" outlineLevel="1" x14ac:dyDescent="0.25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14256</v>
      </c>
      <c r="I19" s="3"/>
      <c r="J19" s="20">
        <f>IF(H$12=0,0,H19/H$12)</f>
        <v>0.22</v>
      </c>
      <c r="K19" s="3"/>
      <c r="L19" s="3">
        <f>+D19-H19</f>
        <v>-14256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244057</v>
      </c>
      <c r="U19" s="3"/>
      <c r="V19" s="20">
        <f>IF(T$12=0,0,T19/T$12)</f>
        <v>0.25679398148148147</v>
      </c>
      <c r="W19" s="3"/>
      <c r="X19" s="3">
        <f>+P19-T19</f>
        <v>-244057</v>
      </c>
      <c r="Y19" s="3"/>
      <c r="Z19" s="20">
        <f>IF(T19=0,0,X19/T19)</f>
        <v>-1</v>
      </c>
    </row>
    <row r="20" spans="1:26" s="70" customFormat="1" ht="15" hidden="1" customHeight="1" outlineLevel="1" x14ac:dyDescent="0.25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28313.91</v>
      </c>
      <c r="E20" s="3"/>
      <c r="F20" s="20">
        <f>IF(D$12=0,0,D20/D$12)</f>
        <v>0.22187251152739265</v>
      </c>
      <c r="G20" s="3"/>
      <c r="H20" s="3"/>
      <c r="I20" s="3"/>
      <c r="J20" s="20">
        <f>IF(H$12=0,0,H20/H$12)</f>
        <v>0</v>
      </c>
      <c r="K20" s="3"/>
      <c r="L20" s="3">
        <f>+D20-H20</f>
        <v>28313.91</v>
      </c>
      <c r="M20" s="3"/>
      <c r="N20" s="20">
        <f>IF(H20=0,0,L20/H20)</f>
        <v>0</v>
      </c>
      <c r="O20" s="12"/>
      <c r="P20" s="3">
        <v>475124.62</v>
      </c>
      <c r="Q20" s="3"/>
      <c r="R20" s="20">
        <f>IF(P$12=0,0,P20/P$12)</f>
        <v>0.24031406221651957</v>
      </c>
      <c r="S20" s="3"/>
      <c r="T20" s="3"/>
      <c r="U20" s="3"/>
      <c r="V20" s="20">
        <f>IF(T$12=0,0,T20/T$12)</f>
        <v>0</v>
      </c>
      <c r="W20" s="3"/>
      <c r="X20" s="3">
        <f>+P20-T20</f>
        <v>475124.62</v>
      </c>
      <c r="Y20" s="3"/>
      <c r="Z20" s="20">
        <f>IF(T20=0,0,X20/T20)</f>
        <v>0</v>
      </c>
    </row>
    <row r="21" spans="1:26" s="70" customFormat="1" ht="15" hidden="1" customHeight="1" outlineLevel="1" x14ac:dyDescent="0.25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6827</v>
      </c>
      <c r="E21" s="3"/>
      <c r="F21" s="20">
        <f>IF(D$12=0,0,D21/D$12)</f>
        <v>5.3497508334154828E-2</v>
      </c>
      <c r="G21" s="3"/>
      <c r="H21" s="3"/>
      <c r="I21" s="3"/>
      <c r="J21" s="20">
        <f>IF(H$12=0,0,H21/H$12)</f>
        <v>0</v>
      </c>
      <c r="K21" s="3"/>
      <c r="L21" s="3">
        <f>+D21-H21</f>
        <v>6827</v>
      </c>
      <c r="M21" s="3"/>
      <c r="N21" s="20">
        <f>IF(H21=0,0,L21/H21)</f>
        <v>0</v>
      </c>
      <c r="O21" s="12"/>
      <c r="P21" s="3">
        <v>-7439.06</v>
      </c>
      <c r="Q21" s="3"/>
      <c r="R21" s="20">
        <f>IF(P$12=0,0,P21/P$12)</f>
        <v>-3.7626143803544052E-3</v>
      </c>
      <c r="S21" s="3"/>
      <c r="T21" s="3"/>
      <c r="U21" s="3"/>
      <c r="V21" s="20">
        <f>IF(T$12=0,0,T21/T$12)</f>
        <v>0</v>
      </c>
      <c r="W21" s="3"/>
      <c r="X21" s="3">
        <f>+P21-T21</f>
        <v>-7439.06</v>
      </c>
      <c r="Y21" s="3"/>
      <c r="Z21" s="20">
        <f>IF(T21=0,0,X21/T21)</f>
        <v>0</v>
      </c>
    </row>
    <row r="22" spans="1:26" ht="15" customHeight="1" x14ac:dyDescent="0.25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25">
      <c r="A23" s="11"/>
      <c r="B23" s="28" t="s">
        <v>289</v>
      </c>
      <c r="C23" s="28"/>
      <c r="D23" s="22">
        <f>D12-D18</f>
        <v>92472.51</v>
      </c>
      <c r="E23" s="15"/>
      <c r="F23" s="21">
        <f>IF(D$12=0,0,D23/D$12)</f>
        <v>0.72462998013845248</v>
      </c>
      <c r="G23" s="15"/>
      <c r="H23" s="22">
        <f>H12-H18</f>
        <v>50544</v>
      </c>
      <c r="I23" s="15"/>
      <c r="J23" s="21">
        <f>IF(H$12=0,0,H23/H$12)</f>
        <v>0.78</v>
      </c>
      <c r="K23" s="16"/>
      <c r="L23" s="22">
        <f>+D23-H23</f>
        <v>41928.509999999995</v>
      </c>
      <c r="M23" s="16"/>
      <c r="N23" s="21">
        <f>IF(H23=0,0,L23/H23)</f>
        <v>0.82954475308641962</v>
      </c>
      <c r="O23" s="27"/>
      <c r="P23" s="22">
        <f>P12-P18</f>
        <v>1509413.1400000001</v>
      </c>
      <c r="Q23" s="15"/>
      <c r="R23" s="21">
        <f>IF(P$12=0,0,P23/P$12)</f>
        <v>0.76344855216383478</v>
      </c>
      <c r="S23" s="15"/>
      <c r="T23" s="22">
        <f>T12-T18</f>
        <v>706343</v>
      </c>
      <c r="U23" s="15"/>
      <c r="V23" s="21">
        <f>IF(T$12=0,0,T23/T$12)</f>
        <v>0.74320601851851853</v>
      </c>
      <c r="W23" s="16"/>
      <c r="X23" s="22">
        <f>+P23-T23</f>
        <v>803070.14000000013</v>
      </c>
      <c r="Y23" s="16"/>
      <c r="Z23" s="21">
        <f>IF(T23=0,0,X23/T23)</f>
        <v>1.1369407497490598</v>
      </c>
    </row>
    <row r="24" spans="1:26" ht="15" customHeight="1" x14ac:dyDescent="0.25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25">
      <c r="A25" s="11"/>
      <c r="B25" s="27" t="s">
        <v>290</v>
      </c>
      <c r="C25" s="11"/>
      <c r="D25" s="23" cm="1">
        <f t="array" ref="D25">SUM(OSRRefD22x_0)</f>
        <v>96640.01</v>
      </c>
      <c r="E25" s="23"/>
      <c r="F25" s="31">
        <f t="shared" ref="F25:F56" si="0">IF(D$12=0,0,D25/D$12)</f>
        <v>0.75728720380662151</v>
      </c>
      <c r="G25" s="23"/>
      <c r="H25" s="23" cm="1">
        <f t="array" ref="H25">SUM(OSRRefH22x_0)</f>
        <v>101331.21499692311</v>
      </c>
      <c r="I25" s="23"/>
      <c r="J25" s="31">
        <f t="shared" ref="J25:J56" si="1">IF(H$12=0,0,H25/H$12)</f>
        <v>1.5637533178537517</v>
      </c>
      <c r="K25" s="5"/>
      <c r="L25" s="23">
        <f t="shared" ref="L25:L56" si="2">+D25-H25</f>
        <v>-4691.2049969231157</v>
      </c>
      <c r="M25" s="5"/>
      <c r="N25" s="31">
        <f t="shared" ref="N25:N56" si="3">IF(H25=0,0,L25/H25)</f>
        <v>-4.6295753949713941E-2</v>
      </c>
      <c r="O25" s="11"/>
      <c r="P25" s="23" cm="1">
        <f t="array" ref="P25">SUM(OSRRefP22x_0)</f>
        <v>1270769.7799999998</v>
      </c>
      <c r="Q25" s="23"/>
      <c r="R25" s="31">
        <f t="shared" ref="R25:R56" si="4">IF(P$12=0,0,P25/P$12)</f>
        <v>0.64274473499982554</v>
      </c>
      <c r="S25" s="23"/>
      <c r="T25" s="23" cm="1">
        <f t="array" ref="T25">SUM(OSRRefT22x_0)</f>
        <v>1329178.2914630773</v>
      </c>
      <c r="U25" s="23"/>
      <c r="V25" s="31">
        <f t="shared" ref="V25:V56" si="5">IF(T$12=0,0,T25/T$12)</f>
        <v>1.3985461820949887</v>
      </c>
      <c r="W25" s="5"/>
      <c r="X25" s="23">
        <f t="shared" ref="X25:X56" si="6">+P25-T25</f>
        <v>-58408.511463077506</v>
      </c>
      <c r="Y25" s="5"/>
      <c r="Z25" s="31">
        <f t="shared" ref="Z25:Z56" si="7">IF(T25=0,0,X25/T25)</f>
        <v>-4.3943323358663217E-2</v>
      </c>
    </row>
    <row r="26" spans="1:26" s="69" customFormat="1" ht="15" customHeight="1" outlineLevel="1" collapsed="1" x14ac:dyDescent="0.25">
      <c r="A26" s="26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26385.83</v>
      </c>
      <c r="E26" s="2"/>
      <c r="F26" s="6">
        <f t="shared" si="0"/>
        <v>0.2067637557241237</v>
      </c>
      <c r="G26" s="2"/>
      <c r="H26" s="2">
        <f>SUM(OSRRefH22_0x_0)</f>
        <v>29000.835612307725</v>
      </c>
      <c r="I26" s="2"/>
      <c r="J26" s="6">
        <f t="shared" si="1"/>
        <v>0.44754375944919328</v>
      </c>
      <c r="K26" s="2"/>
      <c r="L26" s="2">
        <f t="shared" si="2"/>
        <v>-2615.0056123077229</v>
      </c>
      <c r="M26" s="2"/>
      <c r="N26" s="6">
        <f t="shared" si="3"/>
        <v>-9.0170009142699847E-2</v>
      </c>
      <c r="O26" s="14"/>
      <c r="P26" s="2">
        <f>SUM(OSRRefP22_0x_0)</f>
        <v>269193.98000000004</v>
      </c>
      <c r="Q26" s="2"/>
      <c r="R26" s="6">
        <f t="shared" si="4"/>
        <v>0.13615606545085485</v>
      </c>
      <c r="S26" s="2"/>
      <c r="T26" s="2">
        <f>SUM(OSRRefT22_0x_0)</f>
        <v>352316.87484769267</v>
      </c>
      <c r="U26" s="2"/>
      <c r="V26" s="6">
        <f t="shared" si="5"/>
        <v>0.37070378245758911</v>
      </c>
      <c r="W26" s="2"/>
      <c r="X26" s="2">
        <f t="shared" si="6"/>
        <v>-83122.894847692631</v>
      </c>
      <c r="Y26" s="2"/>
      <c r="Z26" s="6">
        <f t="shared" si="7"/>
        <v>-0.23593219848929131</v>
      </c>
    </row>
    <row r="27" spans="1:26" s="70" customFormat="1" ht="15" hidden="1" customHeight="1" outlineLevel="2" x14ac:dyDescent="0.25">
      <c r="A27" s="25"/>
      <c r="B27" s="12" t="str">
        <f>CONCATENATE("          ","6111"," - ","F.I.C.A.")</f>
        <v xml:space="preserve">          6111 - F.I.C.A.</v>
      </c>
      <c r="C27" s="12"/>
      <c r="D27" s="8">
        <v>3256.18</v>
      </c>
      <c r="E27" s="3"/>
      <c r="F27" s="7">
        <f t="shared" si="0"/>
        <v>2.5515968461624176E-2</v>
      </c>
      <c r="G27" s="3"/>
      <c r="H27" s="8">
        <v>2633.9977661538501</v>
      </c>
      <c r="I27" s="3"/>
      <c r="J27" s="7">
        <f t="shared" si="1"/>
        <v>4.0648113675213739E-2</v>
      </c>
      <c r="K27" s="3"/>
      <c r="L27" s="8">
        <f t="shared" si="2"/>
        <v>622.18223384614976</v>
      </c>
      <c r="M27" s="3"/>
      <c r="N27" s="7">
        <f t="shared" si="3"/>
        <v>0.2362121342094595</v>
      </c>
      <c r="O27" s="12"/>
      <c r="P27" s="8">
        <v>36297.370000000003</v>
      </c>
      <c r="Q27" s="3"/>
      <c r="R27" s="7">
        <f t="shared" si="4"/>
        <v>1.8358906411703169E-2</v>
      </c>
      <c r="S27" s="3"/>
      <c r="T27" s="8">
        <v>32599.036693846199</v>
      </c>
      <c r="U27" s="3"/>
      <c r="V27" s="7">
        <f t="shared" si="5"/>
        <v>3.4300333221639522E-2</v>
      </c>
      <c r="W27" s="3"/>
      <c r="X27" s="8">
        <f t="shared" si="6"/>
        <v>3698.3333061538033</v>
      </c>
      <c r="Y27" s="3"/>
      <c r="Z27" s="7">
        <f t="shared" si="7"/>
        <v>0.11344915927690424</v>
      </c>
    </row>
    <row r="28" spans="1:26" s="70" customFormat="1" ht="15" hidden="1" customHeight="1" outlineLevel="2" x14ac:dyDescent="0.25">
      <c r="A28" s="25"/>
      <c r="B28" s="12" t="str">
        <f>CONCATENATE("          ","6112"," - ","COMPENSATION INSURANCE")</f>
        <v xml:space="preserve">          6112 - COMPENSATION INSURANCE</v>
      </c>
      <c r="C28" s="12"/>
      <c r="D28" s="8">
        <v>3267.98</v>
      </c>
      <c r="E28" s="3"/>
      <c r="F28" s="7">
        <f t="shared" si="0"/>
        <v>2.5608435225699618E-2</v>
      </c>
      <c r="G28" s="3"/>
      <c r="H28" s="8">
        <v>2072.9422492307699</v>
      </c>
      <c r="I28" s="3"/>
      <c r="J28" s="7">
        <f t="shared" si="1"/>
        <v>3.1989849525166203E-2</v>
      </c>
      <c r="K28" s="3"/>
      <c r="L28" s="8">
        <f t="shared" si="2"/>
        <v>1195.0377507692301</v>
      </c>
      <c r="M28" s="3"/>
      <c r="N28" s="7">
        <f t="shared" si="3"/>
        <v>0.57649350878573014</v>
      </c>
      <c r="O28" s="12"/>
      <c r="P28" s="8">
        <v>23737.19</v>
      </c>
      <c r="Q28" s="3"/>
      <c r="R28" s="7">
        <f t="shared" si="4"/>
        <v>1.2006072332150133E-2</v>
      </c>
      <c r="S28" s="3"/>
      <c r="T28" s="8">
        <v>28783.2214707692</v>
      </c>
      <c r="U28" s="3"/>
      <c r="V28" s="7">
        <f t="shared" si="5"/>
        <v>3.0285376126651095E-2</v>
      </c>
      <c r="W28" s="3"/>
      <c r="X28" s="8">
        <f t="shared" si="6"/>
        <v>-5046.0314707692014</v>
      </c>
      <c r="Y28" s="3"/>
      <c r="Z28" s="7">
        <f t="shared" si="7"/>
        <v>-0.1753115604482875</v>
      </c>
    </row>
    <row r="29" spans="1:26" s="70" customFormat="1" ht="15" hidden="1" customHeight="1" outlineLevel="2" x14ac:dyDescent="0.25">
      <c r="A29" s="25"/>
      <c r="B29" s="12" t="str">
        <f>CONCATENATE("          ","6113"," - ","GROUP INSURANCE")</f>
        <v xml:space="preserve">          6113 - GROUP INSURANCE</v>
      </c>
      <c r="C29" s="12"/>
      <c r="D29" s="8">
        <v>12774.24</v>
      </c>
      <c r="E29" s="3"/>
      <c r="F29" s="7">
        <f t="shared" si="0"/>
        <v>0.10010107087483433</v>
      </c>
      <c r="G29" s="3"/>
      <c r="H29" s="8">
        <v>18578.538461538501</v>
      </c>
      <c r="I29" s="3"/>
      <c r="J29" s="7">
        <f t="shared" si="1"/>
        <v>0.28670584045584108</v>
      </c>
      <c r="K29" s="3"/>
      <c r="L29" s="8">
        <f t="shared" si="2"/>
        <v>-5804.2984615385012</v>
      </c>
      <c r="M29" s="3"/>
      <c r="N29" s="7">
        <f t="shared" si="3"/>
        <v>-0.31241954115791321</v>
      </c>
      <c r="O29" s="12"/>
      <c r="P29" s="8">
        <v>135348.54999999999</v>
      </c>
      <c r="Q29" s="3"/>
      <c r="R29" s="7">
        <f t="shared" si="4"/>
        <v>6.8458165492698966E-2</v>
      </c>
      <c r="S29" s="3"/>
      <c r="T29" s="8">
        <v>220965.461538462</v>
      </c>
      <c r="U29" s="3"/>
      <c r="V29" s="7">
        <f t="shared" si="5"/>
        <v>0.23249732905982953</v>
      </c>
      <c r="W29" s="3"/>
      <c r="X29" s="8">
        <f t="shared" si="6"/>
        <v>-85616.911538462009</v>
      </c>
      <c r="Y29" s="3"/>
      <c r="Z29" s="7">
        <f t="shared" si="7"/>
        <v>-0.38746739396446012</v>
      </c>
    </row>
    <row r="30" spans="1:26" s="70" customFormat="1" ht="15" hidden="1" customHeight="1" outlineLevel="2" x14ac:dyDescent="0.25">
      <c r="A30" s="25"/>
      <c r="B30" s="12" t="str">
        <f>CONCATENATE("          ","6114"," - ","STATE UNEMPLOYMENT INSURANCE")</f>
        <v xml:space="preserve">          6114 - STATE UNEMPLOYMENT INSURANCE</v>
      </c>
      <c r="C30" s="12"/>
      <c r="D30" s="8">
        <v>236.02</v>
      </c>
      <c r="E30" s="3"/>
      <c r="F30" s="7">
        <f t="shared" si="0"/>
        <v>1.8494920048377358E-3</v>
      </c>
      <c r="G30" s="3"/>
      <c r="H30" s="8">
        <v>114.85959692307701</v>
      </c>
      <c r="I30" s="3"/>
      <c r="J30" s="7">
        <f t="shared" si="1"/>
        <v>1.7725246438746452E-3</v>
      </c>
      <c r="K30" s="3"/>
      <c r="L30" s="8">
        <f t="shared" si="2"/>
        <v>121.160403076923</v>
      </c>
      <c r="M30" s="3"/>
      <c r="N30" s="7">
        <f t="shared" si="3"/>
        <v>1.0548565929416045</v>
      </c>
      <c r="O30" s="12"/>
      <c r="P30" s="8">
        <v>1714.35</v>
      </c>
      <c r="Q30" s="3"/>
      <c r="R30" s="7">
        <f t="shared" si="4"/>
        <v>8.6710390331044157E-4</v>
      </c>
      <c r="S30" s="3"/>
      <c r="T30" s="8">
        <v>1594.84868307692</v>
      </c>
      <c r="U30" s="3"/>
      <c r="V30" s="7">
        <f t="shared" si="5"/>
        <v>1.6780815268065236E-3</v>
      </c>
      <c r="W30" s="3"/>
      <c r="X30" s="8">
        <f t="shared" si="6"/>
        <v>119.50131692307991</v>
      </c>
      <c r="Y30" s="3"/>
      <c r="Z30" s="7">
        <f t="shared" si="7"/>
        <v>7.4929564284761885E-2</v>
      </c>
    </row>
    <row r="31" spans="1:26" s="70" customFormat="1" ht="15" hidden="1" customHeight="1" outlineLevel="2" x14ac:dyDescent="0.25">
      <c r="A31" s="25"/>
      <c r="B31" s="12" t="str">
        <f>CONCATENATE("          ","6115"," - ","P.E.R.S.")</f>
        <v xml:space="preserve">          6115 - P.E.R.S.</v>
      </c>
      <c r="C31" s="12"/>
      <c r="D31" s="8">
        <v>1221.58</v>
      </c>
      <c r="E31" s="3"/>
      <c r="F31" s="7">
        <f t="shared" si="0"/>
        <v>9.5725042084131903E-3</v>
      </c>
      <c r="G31" s="3"/>
      <c r="H31" s="8">
        <v>408.83076923076902</v>
      </c>
      <c r="I31" s="3"/>
      <c r="J31" s="7">
        <f t="shared" si="1"/>
        <v>6.3091168091168057E-3</v>
      </c>
      <c r="K31" s="3"/>
      <c r="L31" s="8">
        <f t="shared" si="2"/>
        <v>812.74923076923096</v>
      </c>
      <c r="M31" s="3"/>
      <c r="N31" s="7">
        <f t="shared" si="3"/>
        <v>1.9879844961240325</v>
      </c>
      <c r="O31" s="12"/>
      <c r="P31" s="8">
        <v>9952.15</v>
      </c>
      <c r="Q31" s="3"/>
      <c r="R31" s="7">
        <f t="shared" si="4"/>
        <v>5.0337143006568153E-3</v>
      </c>
      <c r="S31" s="3"/>
      <c r="T31" s="8">
        <v>4905.9692307692303</v>
      </c>
      <c r="U31" s="3"/>
      <c r="V31" s="7">
        <f t="shared" si="5"/>
        <v>5.1620046620046616E-3</v>
      </c>
      <c r="W31" s="3"/>
      <c r="X31" s="8">
        <f t="shared" si="6"/>
        <v>5046.1807692307693</v>
      </c>
      <c r="Y31" s="3"/>
      <c r="Z31" s="7">
        <f t="shared" si="7"/>
        <v>1.0285797834976544</v>
      </c>
    </row>
    <row r="32" spans="1:26" s="70" customFormat="1" ht="15" hidden="1" customHeight="1" outlineLevel="2" x14ac:dyDescent="0.25">
      <c r="A32" s="25"/>
      <c r="B32" s="12" t="str">
        <f>CONCATENATE("          ","6116"," - ","EDUCATIONAL BENEFITS")</f>
        <v xml:space="preserve">          6116 - EDUCATIONAL BENEFITS</v>
      </c>
      <c r="C32" s="12"/>
      <c r="D32" s="8"/>
      <c r="E32" s="3"/>
      <c r="F32" s="7">
        <f t="shared" si="0"/>
        <v>0</v>
      </c>
      <c r="G32" s="3"/>
      <c r="H32" s="8">
        <v>0</v>
      </c>
      <c r="I32" s="3"/>
      <c r="J32" s="7">
        <f t="shared" si="1"/>
        <v>0</v>
      </c>
      <c r="K32" s="3"/>
      <c r="L32" s="8">
        <f t="shared" si="2"/>
        <v>0</v>
      </c>
      <c r="M32" s="3"/>
      <c r="N32" s="7">
        <f t="shared" si="3"/>
        <v>0</v>
      </c>
      <c r="O32" s="12"/>
      <c r="P32" s="8"/>
      <c r="Q32" s="3"/>
      <c r="R32" s="7">
        <f t="shared" si="4"/>
        <v>0</v>
      </c>
      <c r="S32" s="3"/>
      <c r="T32" s="8">
        <v>0</v>
      </c>
      <c r="U32" s="3"/>
      <c r="V32" s="7">
        <f t="shared" si="5"/>
        <v>0</v>
      </c>
      <c r="W32" s="3"/>
      <c r="X32" s="8">
        <f t="shared" si="6"/>
        <v>0</v>
      </c>
      <c r="Y32" s="3"/>
      <c r="Z32" s="7">
        <f t="shared" si="7"/>
        <v>0</v>
      </c>
    </row>
    <row r="33" spans="1:26" s="70" customFormat="1" ht="15" hidden="1" customHeight="1" outlineLevel="2" x14ac:dyDescent="0.25">
      <c r="A33" s="25"/>
      <c r="B33" s="12" t="str">
        <f>CONCATENATE("          ","6117"," - ","RETIREMENT STAFF HOURLY")</f>
        <v xml:space="preserve">          6117 - RETIREMENT STAFF HOURLY</v>
      </c>
      <c r="C33" s="12"/>
      <c r="D33" s="8">
        <v>510.65</v>
      </c>
      <c r="E33" s="3"/>
      <c r="F33" s="7">
        <f t="shared" si="0"/>
        <v>4.0015383961968885E-3</v>
      </c>
      <c r="G33" s="3"/>
      <c r="H33" s="8"/>
      <c r="I33" s="3"/>
      <c r="J33" s="7">
        <f t="shared" si="1"/>
        <v>0</v>
      </c>
      <c r="K33" s="3"/>
      <c r="L33" s="8">
        <f t="shared" si="2"/>
        <v>510.65</v>
      </c>
      <c r="M33" s="3"/>
      <c r="N33" s="7">
        <f t="shared" si="3"/>
        <v>0</v>
      </c>
      <c r="O33" s="12"/>
      <c r="P33" s="8">
        <v>6989.75</v>
      </c>
      <c r="Q33" s="3"/>
      <c r="R33" s="7">
        <f t="shared" si="4"/>
        <v>3.5353571372031146E-3</v>
      </c>
      <c r="S33" s="3"/>
      <c r="T33" s="8"/>
      <c r="U33" s="3"/>
      <c r="V33" s="7">
        <f t="shared" si="5"/>
        <v>0</v>
      </c>
      <c r="W33" s="3"/>
      <c r="X33" s="8">
        <f t="shared" si="6"/>
        <v>6989.75</v>
      </c>
      <c r="Y33" s="3"/>
      <c r="Z33" s="7">
        <f t="shared" si="7"/>
        <v>0</v>
      </c>
    </row>
    <row r="34" spans="1:26" s="70" customFormat="1" ht="15" hidden="1" customHeight="1" outlineLevel="2" x14ac:dyDescent="0.25">
      <c r="A34" s="25"/>
      <c r="B34" s="12" t="str">
        <f>CONCATENATE("          ","6118"," - ","VACATION")</f>
        <v xml:space="preserve">          6118 - VACATION</v>
      </c>
      <c r="C34" s="12"/>
      <c r="D34" s="8">
        <v>2258.1999999999998</v>
      </c>
      <c r="E34" s="3"/>
      <c r="F34" s="7">
        <f t="shared" si="0"/>
        <v>1.7695631070776097E-2</v>
      </c>
      <c r="G34" s="3"/>
      <c r="H34" s="8">
        <v>1625.81538461538</v>
      </c>
      <c r="I34" s="3"/>
      <c r="J34" s="7">
        <f t="shared" si="1"/>
        <v>2.5089743589743519E-2</v>
      </c>
      <c r="K34" s="3"/>
      <c r="L34" s="8">
        <f t="shared" si="2"/>
        <v>632.38461538461979</v>
      </c>
      <c r="M34" s="3"/>
      <c r="N34" s="7">
        <f t="shared" si="3"/>
        <v>0.38896459054865157</v>
      </c>
      <c r="O34" s="12"/>
      <c r="P34" s="8">
        <v>23316.080000000002</v>
      </c>
      <c r="Q34" s="3"/>
      <c r="R34" s="7">
        <f t="shared" si="4"/>
        <v>1.1793078413333638E-2</v>
      </c>
      <c r="S34" s="3"/>
      <c r="T34" s="8">
        <v>19509.7846153846</v>
      </c>
      <c r="U34" s="3"/>
      <c r="V34" s="7">
        <f t="shared" si="5"/>
        <v>2.0527972027972012E-2</v>
      </c>
      <c r="W34" s="3"/>
      <c r="X34" s="8">
        <f t="shared" si="6"/>
        <v>3806.2953846154014</v>
      </c>
      <c r="Y34" s="3"/>
      <c r="Z34" s="7">
        <f t="shared" si="7"/>
        <v>0.19509674041270123</v>
      </c>
    </row>
    <row r="35" spans="1:26" s="70" customFormat="1" ht="15" hidden="1" customHeight="1" outlineLevel="2" x14ac:dyDescent="0.25">
      <c r="A35" s="25"/>
      <c r="B35" s="12" t="str">
        <f>CONCATENATE("          ","6119"," - ","SICK LEAVE")</f>
        <v xml:space="preserve">          6119 - SICK LEAVE</v>
      </c>
      <c r="C35" s="12"/>
      <c r="D35" s="8">
        <v>1715</v>
      </c>
      <c r="E35" s="3"/>
      <c r="F35" s="7">
        <f t="shared" si="0"/>
        <v>1.3439025456727044E-2</v>
      </c>
      <c r="G35" s="3"/>
      <c r="H35" s="8">
        <v>1640.8513846153801</v>
      </c>
      <c r="I35" s="3"/>
      <c r="J35" s="7">
        <f t="shared" si="1"/>
        <v>2.5321780626780557E-2</v>
      </c>
      <c r="K35" s="3"/>
      <c r="L35" s="8">
        <f t="shared" si="2"/>
        <v>74.148615384619916</v>
      </c>
      <c r="M35" s="3"/>
      <c r="N35" s="7">
        <f t="shared" si="3"/>
        <v>4.5189111018729189E-2</v>
      </c>
      <c r="O35" s="12"/>
      <c r="P35" s="8">
        <v>19256.64</v>
      </c>
      <c r="Q35" s="3"/>
      <c r="R35" s="7">
        <f t="shared" si="4"/>
        <v>9.7398475857578565E-3</v>
      </c>
      <c r="S35" s="3"/>
      <c r="T35" s="8">
        <v>22783.5526153846</v>
      </c>
      <c r="U35" s="3"/>
      <c r="V35" s="7">
        <f t="shared" si="5"/>
        <v>2.3972593240093223E-2</v>
      </c>
      <c r="W35" s="3"/>
      <c r="X35" s="8">
        <f t="shared" si="6"/>
        <v>-3526.9126153846009</v>
      </c>
      <c r="Y35" s="3"/>
      <c r="Z35" s="7">
        <f t="shared" si="7"/>
        <v>-0.15480081947373966</v>
      </c>
    </row>
    <row r="36" spans="1:26" s="70" customFormat="1" ht="15" hidden="1" customHeight="1" outlineLevel="2" x14ac:dyDescent="0.25">
      <c r="A36" s="25"/>
      <c r="B36" s="12" t="str">
        <f>CONCATENATE("          ","6156"," - ","EMPLOYEE MEALS")</f>
        <v xml:space="preserve">          6156 - EMPLOYEE MEALS</v>
      </c>
      <c r="C36" s="12"/>
      <c r="D36" s="8">
        <v>1145.98</v>
      </c>
      <c r="E36" s="3"/>
      <c r="F36" s="7">
        <f t="shared" si="0"/>
        <v>8.9800900250146115E-3</v>
      </c>
      <c r="G36" s="3"/>
      <c r="H36" s="8">
        <v>1925</v>
      </c>
      <c r="I36" s="3"/>
      <c r="J36" s="7">
        <f t="shared" si="1"/>
        <v>2.970679012345679E-2</v>
      </c>
      <c r="K36" s="3"/>
      <c r="L36" s="8">
        <f t="shared" si="2"/>
        <v>-779.02</v>
      </c>
      <c r="M36" s="3"/>
      <c r="N36" s="7">
        <f t="shared" si="3"/>
        <v>-0.40468571428571426</v>
      </c>
      <c r="O36" s="12"/>
      <c r="P36" s="8">
        <v>12581.9</v>
      </c>
      <c r="Q36" s="3"/>
      <c r="R36" s="7">
        <f t="shared" si="4"/>
        <v>6.3638198740406833E-3</v>
      </c>
      <c r="S36" s="3"/>
      <c r="T36" s="8">
        <v>21175</v>
      </c>
      <c r="U36" s="3"/>
      <c r="V36" s="7">
        <f t="shared" si="5"/>
        <v>2.2280092592592591E-2</v>
      </c>
      <c r="W36" s="3"/>
      <c r="X36" s="8">
        <f t="shared" si="6"/>
        <v>-8593.1</v>
      </c>
      <c r="Y36" s="3"/>
      <c r="Z36" s="7">
        <f t="shared" si="7"/>
        <v>-0.40581345926800472</v>
      </c>
    </row>
    <row r="37" spans="1:26" s="69" customFormat="1" ht="15" customHeight="1" outlineLevel="1" collapsed="1" x14ac:dyDescent="0.25">
      <c r="A37" s="26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48380.649999999994</v>
      </c>
      <c r="E37" s="2"/>
      <c r="F37" s="6">
        <f t="shared" si="0"/>
        <v>0.37911882621749338</v>
      </c>
      <c r="G37" s="2"/>
      <c r="H37" s="2">
        <f>SUM(OSRRefH22_1x_0)</f>
        <v>51428.379384615379</v>
      </c>
      <c r="I37" s="2"/>
      <c r="J37" s="6">
        <f t="shared" si="1"/>
        <v>0.79364783000949657</v>
      </c>
      <c r="K37" s="2"/>
      <c r="L37" s="2">
        <f t="shared" si="2"/>
        <v>-3047.7293846153843</v>
      </c>
      <c r="M37" s="2"/>
      <c r="N37" s="6">
        <f t="shared" si="3"/>
        <v>-5.9261625994909382E-2</v>
      </c>
      <c r="O37" s="14"/>
      <c r="P37" s="2">
        <f>SUM(OSRRefP22_1x_0)</f>
        <v>676015.24</v>
      </c>
      <c r="Q37" s="2"/>
      <c r="R37" s="6">
        <f t="shared" si="4"/>
        <v>0.34192285898523928</v>
      </c>
      <c r="S37" s="2"/>
      <c r="T37" s="2">
        <f>SUM(OSRRefT22_1x_0)</f>
        <v>717158.41661538463</v>
      </c>
      <c r="U37" s="2"/>
      <c r="V37" s="6">
        <f t="shared" si="5"/>
        <v>0.75458587606837613</v>
      </c>
      <c r="W37" s="2"/>
      <c r="X37" s="2">
        <f t="shared" si="6"/>
        <v>-41143.17661538464</v>
      </c>
      <c r="Y37" s="2"/>
      <c r="Z37" s="6">
        <f t="shared" si="7"/>
        <v>-5.7369718687203128E-2</v>
      </c>
    </row>
    <row r="38" spans="1:26" s="70" customFormat="1" ht="15" hidden="1" customHeight="1" outlineLevel="2" x14ac:dyDescent="0.25">
      <c r="A38" s="25"/>
      <c r="B38" s="12" t="str">
        <f>CONCATENATE("          ","6001"," - ","ADMINISTRATIVE SALARIES")</f>
        <v xml:space="preserve">          6001 - ADMINISTRATIVE SALARIES</v>
      </c>
      <c r="C38" s="12"/>
      <c r="D38" s="8"/>
      <c r="E38" s="3"/>
      <c r="F38" s="7">
        <f t="shared" si="0"/>
        <v>0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0</v>
      </c>
      <c r="M38" s="3"/>
      <c r="N38" s="7">
        <f t="shared" si="3"/>
        <v>0</v>
      </c>
      <c r="O38" s="12"/>
      <c r="P38" s="8"/>
      <c r="Q38" s="3"/>
      <c r="R38" s="7">
        <f t="shared" si="4"/>
        <v>0</v>
      </c>
      <c r="S38" s="3"/>
      <c r="T38" s="8">
        <v>0</v>
      </c>
      <c r="U38" s="3"/>
      <c r="V38" s="7">
        <f t="shared" si="5"/>
        <v>0</v>
      </c>
      <c r="W38" s="3"/>
      <c r="X38" s="8">
        <f t="shared" si="6"/>
        <v>0</v>
      </c>
      <c r="Y38" s="3"/>
      <c r="Z38" s="7">
        <f t="shared" si="7"/>
        <v>0</v>
      </c>
    </row>
    <row r="39" spans="1:26" s="70" customFormat="1" ht="15" hidden="1" customHeight="1" outlineLevel="2" x14ac:dyDescent="0.25">
      <c r="A39" s="25"/>
      <c r="B39" s="12" t="str">
        <f>CONCATENATE("          ","6002"," - ","STAFF SALARIES")</f>
        <v xml:space="preserve">          6002 - STAFF SALARIES</v>
      </c>
      <c r="C39" s="12"/>
      <c r="D39" s="8">
        <v>14316.16</v>
      </c>
      <c r="E39" s="3"/>
      <c r="F39" s="7">
        <f t="shared" si="0"/>
        <v>0.11218381264290229</v>
      </c>
      <c r="G39" s="3"/>
      <c r="H39" s="8">
        <v>4468.6153846153802</v>
      </c>
      <c r="I39" s="3"/>
      <c r="J39" s="7">
        <f t="shared" si="1"/>
        <v>6.8960113960113895E-2</v>
      </c>
      <c r="K39" s="3"/>
      <c r="L39" s="8">
        <f t="shared" si="2"/>
        <v>9847.5446153846206</v>
      </c>
      <c r="M39" s="3"/>
      <c r="N39" s="7">
        <f t="shared" si="3"/>
        <v>2.2037127315293015</v>
      </c>
      <c r="O39" s="12"/>
      <c r="P39" s="8">
        <v>111742.77</v>
      </c>
      <c r="Q39" s="3"/>
      <c r="R39" s="7">
        <f t="shared" si="4"/>
        <v>5.6518559240365689E-2</v>
      </c>
      <c r="S39" s="3"/>
      <c r="T39" s="8">
        <v>53623.384615384603</v>
      </c>
      <c r="U39" s="3"/>
      <c r="V39" s="7">
        <f t="shared" si="5"/>
        <v>5.6421911421911407E-2</v>
      </c>
      <c r="W39" s="3"/>
      <c r="X39" s="8">
        <f t="shared" si="6"/>
        <v>58119.385384615402</v>
      </c>
      <c r="Y39" s="3"/>
      <c r="Z39" s="7">
        <f t="shared" si="7"/>
        <v>1.0838440318804661</v>
      </c>
    </row>
    <row r="40" spans="1:26" s="70" customFormat="1" ht="15" hidden="1" customHeight="1" outlineLevel="2" x14ac:dyDescent="0.25">
      <c r="A40" s="25"/>
      <c r="B40" s="12" t="str">
        <f>CONCATENATE("          ","6003"," - ","STAFF HOURLY-9 MONTH")</f>
        <v xml:space="preserve">          6003 - STAFF HOURLY-9 MONTH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","6004"," - ","STAFF HOURLY")</f>
        <v xml:space="preserve">          6004 - STAFF HOURLY</v>
      </c>
      <c r="C41" s="12"/>
      <c r="D41" s="8">
        <v>17648.38</v>
      </c>
      <c r="E41" s="3"/>
      <c r="F41" s="7">
        <f t="shared" si="0"/>
        <v>0.13829564320116178</v>
      </c>
      <c r="G41" s="3"/>
      <c r="H41" s="8">
        <v>27290.880000000001</v>
      </c>
      <c r="I41" s="3"/>
      <c r="J41" s="7">
        <f t="shared" si="1"/>
        <v>0.42115555555555556</v>
      </c>
      <c r="K41" s="3"/>
      <c r="L41" s="8">
        <f t="shared" si="2"/>
        <v>-9642.5</v>
      </c>
      <c r="M41" s="3"/>
      <c r="N41" s="7">
        <f t="shared" si="3"/>
        <v>-0.35332316143708081</v>
      </c>
      <c r="O41" s="12"/>
      <c r="P41" s="8">
        <v>266508.92</v>
      </c>
      <c r="Q41" s="3"/>
      <c r="R41" s="7">
        <f t="shared" si="4"/>
        <v>0.13479798454169231</v>
      </c>
      <c r="S41" s="3"/>
      <c r="T41" s="8">
        <v>327490.56</v>
      </c>
      <c r="U41" s="3"/>
      <c r="V41" s="7">
        <f t="shared" si="5"/>
        <v>0.34458181818181816</v>
      </c>
      <c r="W41" s="3"/>
      <c r="X41" s="8">
        <f t="shared" si="6"/>
        <v>-60981.640000000014</v>
      </c>
      <c r="Y41" s="3"/>
      <c r="Z41" s="7">
        <f t="shared" si="7"/>
        <v>-0.18620884827947412</v>
      </c>
    </row>
    <row r="42" spans="1:26" s="70" customFormat="1" ht="15" hidden="1" customHeight="1" outlineLevel="2" x14ac:dyDescent="0.25">
      <c r="A42" s="25"/>
      <c r="B42" s="12" t="str">
        <f>CONCATENATE("          ","6005"," - ","TEMPORARY WAGES-HOURLY")</f>
        <v xml:space="preserve">          6005 - TEMPORARY WAGES-HOURLY</v>
      </c>
      <c r="C42" s="12"/>
      <c r="D42" s="8">
        <v>4975.8100000000004</v>
      </c>
      <c r="E42" s="3"/>
      <c r="F42" s="7">
        <f t="shared" si="0"/>
        <v>3.8991275369001162E-2</v>
      </c>
      <c r="G42" s="3"/>
      <c r="H42" s="8">
        <v>3104</v>
      </c>
      <c r="I42" s="3"/>
      <c r="J42" s="7">
        <f t="shared" si="1"/>
        <v>4.7901234567901234E-2</v>
      </c>
      <c r="K42" s="3"/>
      <c r="L42" s="8">
        <f t="shared" si="2"/>
        <v>1871.8100000000004</v>
      </c>
      <c r="M42" s="3"/>
      <c r="N42" s="7">
        <f t="shared" si="3"/>
        <v>0.60303157216494863</v>
      </c>
      <c r="O42" s="12"/>
      <c r="P42" s="8">
        <v>100344.01</v>
      </c>
      <c r="Q42" s="3"/>
      <c r="R42" s="7">
        <f t="shared" si="4"/>
        <v>5.0753161690916079E-2</v>
      </c>
      <c r="S42" s="3"/>
      <c r="T42" s="8">
        <v>69762.399999999994</v>
      </c>
      <c r="U42" s="3"/>
      <c r="V42" s="7">
        <f t="shared" si="5"/>
        <v>7.3403198653198651E-2</v>
      </c>
      <c r="W42" s="3"/>
      <c r="X42" s="8">
        <f t="shared" si="6"/>
        <v>30581.61</v>
      </c>
      <c r="Y42" s="3"/>
      <c r="Z42" s="7">
        <f t="shared" si="7"/>
        <v>0.43836808940059407</v>
      </c>
    </row>
    <row r="43" spans="1:26" s="70" customFormat="1" ht="15" hidden="1" customHeight="1" outlineLevel="2" x14ac:dyDescent="0.25">
      <c r="A43" s="25"/>
      <c r="B43" s="12" t="str">
        <f>CONCATENATE("          ","6006"," - ","TEMPORARY PART TIME")</f>
        <v xml:space="preserve">          6006 - TEMPORARY PART TIME</v>
      </c>
      <c r="C43" s="12"/>
      <c r="D43" s="8"/>
      <c r="E43" s="3"/>
      <c r="F43" s="7">
        <f t="shared" si="0"/>
        <v>0</v>
      </c>
      <c r="G43" s="3"/>
      <c r="H43" s="8">
        <v>0</v>
      </c>
      <c r="I43" s="3"/>
      <c r="J43" s="7">
        <f t="shared" si="1"/>
        <v>0</v>
      </c>
      <c r="K43" s="3"/>
      <c r="L43" s="8">
        <f t="shared" si="2"/>
        <v>0</v>
      </c>
      <c r="M43" s="3"/>
      <c r="N43" s="7">
        <f t="shared" si="3"/>
        <v>0</v>
      </c>
      <c r="O43" s="12"/>
      <c r="P43" s="8"/>
      <c r="Q43" s="3"/>
      <c r="R43" s="7">
        <f t="shared" si="4"/>
        <v>0</v>
      </c>
      <c r="S43" s="3"/>
      <c r="T43" s="8">
        <v>0</v>
      </c>
      <c r="U43" s="3"/>
      <c r="V43" s="7">
        <f t="shared" si="5"/>
        <v>0</v>
      </c>
      <c r="W43" s="3"/>
      <c r="X43" s="8">
        <f t="shared" si="6"/>
        <v>0</v>
      </c>
      <c r="Y43" s="3"/>
      <c r="Z43" s="7">
        <f t="shared" si="7"/>
        <v>0</v>
      </c>
    </row>
    <row r="44" spans="1:26" s="70" customFormat="1" ht="15" hidden="1" customHeight="1" outlineLevel="2" x14ac:dyDescent="0.25">
      <c r="A44" s="25"/>
      <c r="B44" s="12" t="str">
        <f>CONCATENATE("          ","6007"," - ","STUDENT HOURLY")</f>
        <v xml:space="preserve">          6007 - STUDENT HOURLY</v>
      </c>
      <c r="C44" s="12"/>
      <c r="D44" s="8">
        <v>8137.52</v>
      </c>
      <c r="E44" s="3"/>
      <c r="F44" s="7">
        <f t="shared" si="0"/>
        <v>6.3766961186370527E-2</v>
      </c>
      <c r="G44" s="3"/>
      <c r="H44" s="8">
        <v>0</v>
      </c>
      <c r="I44" s="3"/>
      <c r="J44" s="7">
        <f t="shared" si="1"/>
        <v>0</v>
      </c>
      <c r="K44" s="3"/>
      <c r="L44" s="8">
        <f t="shared" si="2"/>
        <v>8137.52</v>
      </c>
      <c r="M44" s="3"/>
      <c r="N44" s="7">
        <f t="shared" si="3"/>
        <v>0</v>
      </c>
      <c r="O44" s="12"/>
      <c r="P44" s="8">
        <v>148339.31</v>
      </c>
      <c r="Q44" s="3"/>
      <c r="R44" s="7">
        <f t="shared" si="4"/>
        <v>7.5028783337928437E-2</v>
      </c>
      <c r="S44" s="3"/>
      <c r="T44" s="8">
        <v>12561.5</v>
      </c>
      <c r="U44" s="3"/>
      <c r="V44" s="7">
        <f t="shared" si="5"/>
        <v>1.3217066498316499E-2</v>
      </c>
      <c r="W44" s="3"/>
      <c r="X44" s="8">
        <f t="shared" si="6"/>
        <v>135777.81</v>
      </c>
      <c r="Y44" s="3"/>
      <c r="Z44" s="7">
        <f t="shared" si="7"/>
        <v>10.809044302033993</v>
      </c>
    </row>
    <row r="45" spans="1:26" s="70" customFormat="1" ht="15" hidden="1" customHeight="1" outlineLevel="2" x14ac:dyDescent="0.25">
      <c r="A45" s="25"/>
      <c r="B45" s="12" t="str">
        <f>CONCATENATE("          ","6008"," - ","STUDENT HOURLY-FICA EXEMPT")</f>
        <v xml:space="preserve">          6008 - STUDENT HOURLY-FICA EXEMPT</v>
      </c>
      <c r="C45" s="12"/>
      <c r="D45" s="8">
        <v>3302.78</v>
      </c>
      <c r="E45" s="3"/>
      <c r="F45" s="7">
        <f t="shared" si="0"/>
        <v>2.5881133818057695E-2</v>
      </c>
      <c r="G45" s="3"/>
      <c r="H45" s="8">
        <v>16564.883999999998</v>
      </c>
      <c r="I45" s="3"/>
      <c r="J45" s="7">
        <f t="shared" si="1"/>
        <v>0.2556309259259259</v>
      </c>
      <c r="K45" s="3"/>
      <c r="L45" s="8">
        <f t="shared" si="2"/>
        <v>-13262.103999999998</v>
      </c>
      <c r="M45" s="3"/>
      <c r="N45" s="7">
        <f t="shared" si="3"/>
        <v>-0.80061556724453964</v>
      </c>
      <c r="O45" s="12"/>
      <c r="P45" s="8">
        <v>49080.23</v>
      </c>
      <c r="Q45" s="3"/>
      <c r="R45" s="7">
        <f t="shared" si="4"/>
        <v>2.4824370174336769E-2</v>
      </c>
      <c r="S45" s="3"/>
      <c r="T45" s="8">
        <v>253720.57199999999</v>
      </c>
      <c r="U45" s="3"/>
      <c r="V45" s="7">
        <f t="shared" si="5"/>
        <v>0.26696188131313131</v>
      </c>
      <c r="W45" s="3"/>
      <c r="X45" s="8">
        <f t="shared" si="6"/>
        <v>-204640.34199999998</v>
      </c>
      <c r="Y45" s="3"/>
      <c r="Z45" s="7">
        <f t="shared" si="7"/>
        <v>-0.80655794044166029</v>
      </c>
    </row>
    <row r="46" spans="1:26" s="70" customFormat="1" ht="15" hidden="1" customHeight="1" outlineLevel="2" x14ac:dyDescent="0.25">
      <c r="A46" s="25"/>
      <c r="B46" s="12" t="str">
        <f>CONCATENATE("          ","6009"," - ","TEMPORARY-SEASONAL")</f>
        <v xml:space="preserve">          6009 - TEMPORARY-SEASONAL</v>
      </c>
      <c r="C46" s="12"/>
      <c r="D46" s="8"/>
      <c r="E46" s="3"/>
      <c r="F46" s="7">
        <f t="shared" si="0"/>
        <v>0</v>
      </c>
      <c r="G46" s="3"/>
      <c r="H46" s="8">
        <v>0</v>
      </c>
      <c r="I46" s="3"/>
      <c r="J46" s="7">
        <f t="shared" si="1"/>
        <v>0</v>
      </c>
      <c r="K46" s="3"/>
      <c r="L46" s="8">
        <f t="shared" si="2"/>
        <v>0</v>
      </c>
      <c r="M46" s="3"/>
      <c r="N46" s="7">
        <f t="shared" si="3"/>
        <v>0</v>
      </c>
      <c r="O46" s="12"/>
      <c r="P46" s="8"/>
      <c r="Q46" s="3"/>
      <c r="R46" s="7">
        <f t="shared" si="4"/>
        <v>0</v>
      </c>
      <c r="S46" s="3"/>
      <c r="T46" s="8">
        <v>0</v>
      </c>
      <c r="U46" s="3"/>
      <c r="V46" s="7">
        <f t="shared" si="5"/>
        <v>0</v>
      </c>
      <c r="W46" s="3"/>
      <c r="X46" s="8">
        <f t="shared" si="6"/>
        <v>0</v>
      </c>
      <c r="Y46" s="3"/>
      <c r="Z46" s="7">
        <f t="shared" si="7"/>
        <v>0</v>
      </c>
    </row>
    <row r="47" spans="1:26" s="70" customFormat="1" ht="15" hidden="1" customHeight="1" outlineLevel="2" x14ac:dyDescent="0.25">
      <c r="A47" s="25"/>
      <c r="B47" s="12" t="str">
        <f>CONCATENATE("          ","6010"," - ","GRATUITY")</f>
        <v xml:space="preserve">          6010 - GRATUITY</v>
      </c>
      <c r="C47" s="12"/>
      <c r="D47" s="8"/>
      <c r="E47" s="3"/>
      <c r="F47" s="7">
        <f t="shared" si="0"/>
        <v>0</v>
      </c>
      <c r="G47" s="3"/>
      <c r="H47" s="8">
        <v>0</v>
      </c>
      <c r="I47" s="3"/>
      <c r="J47" s="7">
        <f t="shared" si="1"/>
        <v>0</v>
      </c>
      <c r="K47" s="3"/>
      <c r="L47" s="8">
        <f t="shared" si="2"/>
        <v>0</v>
      </c>
      <c r="M47" s="3"/>
      <c r="N47" s="7">
        <f t="shared" si="3"/>
        <v>0</v>
      </c>
      <c r="O47" s="12"/>
      <c r="P47" s="8"/>
      <c r="Q47" s="3"/>
      <c r="R47" s="7">
        <f t="shared" si="4"/>
        <v>0</v>
      </c>
      <c r="S47" s="3"/>
      <c r="T47" s="8">
        <v>0</v>
      </c>
      <c r="U47" s="3"/>
      <c r="V47" s="7">
        <f t="shared" si="5"/>
        <v>0</v>
      </c>
      <c r="W47" s="3"/>
      <c r="X47" s="8">
        <f t="shared" si="6"/>
        <v>0</v>
      </c>
      <c r="Y47" s="3"/>
      <c r="Z47" s="7">
        <f t="shared" si="7"/>
        <v>0</v>
      </c>
    </row>
    <row r="48" spans="1:26" s="69" customFormat="1" ht="15" customHeight="1" outlineLevel="1" collapsed="1" x14ac:dyDescent="0.25">
      <c r="A48" s="26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452.1</v>
      </c>
      <c r="E48" s="2"/>
      <c r="F48" s="6">
        <f t="shared" si="0"/>
        <v>3.5427308507208727E-3</v>
      </c>
      <c r="G48" s="2"/>
      <c r="H48" s="2">
        <f>SUM(OSRRefH22_2x_0)</f>
        <v>350</v>
      </c>
      <c r="I48" s="2"/>
      <c r="J48" s="6">
        <f t="shared" si="1"/>
        <v>5.4012345679012343E-3</v>
      </c>
      <c r="K48" s="2"/>
      <c r="L48" s="2">
        <f t="shared" si="2"/>
        <v>102.10000000000002</v>
      </c>
      <c r="M48" s="2"/>
      <c r="N48" s="6">
        <f t="shared" si="3"/>
        <v>0.29171428571428576</v>
      </c>
      <c r="O48" s="14"/>
      <c r="P48" s="2">
        <f>SUM(OSRRefP22_2x_0)</f>
        <v>1705.1</v>
      </c>
      <c r="Q48" s="2"/>
      <c r="R48" s="6">
        <f t="shared" si="4"/>
        <v>8.6242533061197182E-4</v>
      </c>
      <c r="S48" s="2"/>
      <c r="T48" s="2">
        <f>SUM(OSRRefT22_2x_0)</f>
        <v>3850</v>
      </c>
      <c r="U48" s="2"/>
      <c r="V48" s="6">
        <f t="shared" si="5"/>
        <v>4.0509259259259257E-3</v>
      </c>
      <c r="W48" s="2"/>
      <c r="X48" s="2">
        <f t="shared" si="6"/>
        <v>-2144.9</v>
      </c>
      <c r="Y48" s="2"/>
      <c r="Z48" s="6">
        <f t="shared" si="7"/>
        <v>-0.55711688311688312</v>
      </c>
    </row>
    <row r="49" spans="1:26" s="70" customFormat="1" ht="15" hidden="1" customHeight="1" outlineLevel="2" x14ac:dyDescent="0.25">
      <c r="A49" s="25"/>
      <c r="B49" s="12" t="str">
        <f>CONCATENATE("          ","6362"," - ","ADVERTISING EXPENSE")</f>
        <v xml:space="preserve">          6362 - ADVERTISING EXPENSE</v>
      </c>
      <c r="C49" s="12"/>
      <c r="D49" s="8">
        <v>452.1</v>
      </c>
      <c r="E49" s="3"/>
      <c r="F49" s="7">
        <f t="shared" si="0"/>
        <v>3.5427308507208727E-3</v>
      </c>
      <c r="G49" s="3"/>
      <c r="H49" s="8">
        <v>350</v>
      </c>
      <c r="I49" s="3"/>
      <c r="J49" s="7">
        <f t="shared" si="1"/>
        <v>5.4012345679012343E-3</v>
      </c>
      <c r="K49" s="3"/>
      <c r="L49" s="8">
        <f t="shared" si="2"/>
        <v>102.10000000000002</v>
      </c>
      <c r="M49" s="3"/>
      <c r="N49" s="7">
        <f t="shared" si="3"/>
        <v>0.29171428571428576</v>
      </c>
      <c r="O49" s="12"/>
      <c r="P49" s="8">
        <v>1705.1</v>
      </c>
      <c r="Q49" s="3"/>
      <c r="R49" s="7">
        <f t="shared" si="4"/>
        <v>8.6242533061197182E-4</v>
      </c>
      <c r="S49" s="3"/>
      <c r="T49" s="8">
        <v>3850</v>
      </c>
      <c r="U49" s="3"/>
      <c r="V49" s="7">
        <f t="shared" si="5"/>
        <v>4.0509259259259257E-3</v>
      </c>
      <c r="W49" s="3"/>
      <c r="X49" s="8">
        <f t="shared" si="6"/>
        <v>-2144.9</v>
      </c>
      <c r="Y49" s="3"/>
      <c r="Z49" s="7">
        <f t="shared" si="7"/>
        <v>-0.55711688311688312</v>
      </c>
    </row>
    <row r="50" spans="1:26" s="69" customFormat="1" ht="15" customHeight="1" outlineLevel="1" collapsed="1" x14ac:dyDescent="0.25">
      <c r="A50" s="26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8</v>
      </c>
      <c r="E50" s="2"/>
      <c r="F50" s="6">
        <f t="shared" si="0"/>
        <v>6.2689331576569297E-5</v>
      </c>
      <c r="G50" s="2"/>
      <c r="H50" s="2">
        <f>SUM(OSRRefH22_3x_0)</f>
        <v>10</v>
      </c>
      <c r="I50" s="2"/>
      <c r="J50" s="6">
        <f t="shared" si="1"/>
        <v>1.5432098765432098E-4</v>
      </c>
      <c r="K50" s="2"/>
      <c r="L50" s="2">
        <f t="shared" si="2"/>
        <v>-2</v>
      </c>
      <c r="M50" s="2"/>
      <c r="N50" s="6">
        <f t="shared" si="3"/>
        <v>-0.2</v>
      </c>
      <c r="O50" s="14"/>
      <c r="P50" s="2">
        <f>SUM(OSRRefP22_3x_0)</f>
        <v>16</v>
      </c>
      <c r="Q50" s="2"/>
      <c r="R50" s="6">
        <f t="shared" si="4"/>
        <v>8.0926662892449412E-6</v>
      </c>
      <c r="S50" s="2"/>
      <c r="T50" s="2">
        <f>SUM(OSRRefT22_3x_0)</f>
        <v>100</v>
      </c>
      <c r="U50" s="2"/>
      <c r="V50" s="6">
        <f t="shared" si="5"/>
        <v>1.0521885521885521E-4</v>
      </c>
      <c r="W50" s="2"/>
      <c r="X50" s="2">
        <f t="shared" si="6"/>
        <v>-84</v>
      </c>
      <c r="Y50" s="2"/>
      <c r="Z50" s="6">
        <f t="shared" si="7"/>
        <v>-0.84</v>
      </c>
    </row>
    <row r="51" spans="1:26" s="70" customFormat="1" ht="15" hidden="1" customHeight="1" outlineLevel="2" x14ac:dyDescent="0.25">
      <c r="A51" s="25"/>
      <c r="B51" s="12" t="str">
        <f>CONCATENATE("          ","6272"," - ","CASH (OVER/SHORT)")</f>
        <v xml:space="preserve">          6272 - CASH (OVER/SHORT)</v>
      </c>
      <c r="C51" s="12"/>
      <c r="D51" s="8">
        <v>8</v>
      </c>
      <c r="E51" s="3"/>
      <c r="F51" s="7">
        <f t="shared" si="0"/>
        <v>6.2689331576569297E-5</v>
      </c>
      <c r="G51" s="3"/>
      <c r="H51" s="8">
        <v>10</v>
      </c>
      <c r="I51" s="3"/>
      <c r="J51" s="7">
        <f t="shared" si="1"/>
        <v>1.5432098765432098E-4</v>
      </c>
      <c r="K51" s="3"/>
      <c r="L51" s="8">
        <f t="shared" si="2"/>
        <v>-2</v>
      </c>
      <c r="M51" s="3"/>
      <c r="N51" s="7">
        <f t="shared" si="3"/>
        <v>-0.2</v>
      </c>
      <c r="O51" s="12"/>
      <c r="P51" s="8">
        <v>16</v>
      </c>
      <c r="Q51" s="3"/>
      <c r="R51" s="7">
        <f t="shared" si="4"/>
        <v>8.0926662892449412E-6</v>
      </c>
      <c r="S51" s="3"/>
      <c r="T51" s="8">
        <v>100</v>
      </c>
      <c r="U51" s="3"/>
      <c r="V51" s="7">
        <f t="shared" si="5"/>
        <v>1.0521885521885521E-4</v>
      </c>
      <c r="W51" s="3"/>
      <c r="X51" s="8">
        <f t="shared" si="6"/>
        <v>-84</v>
      </c>
      <c r="Y51" s="3"/>
      <c r="Z51" s="7">
        <f t="shared" si="7"/>
        <v>-0.84</v>
      </c>
    </row>
    <row r="52" spans="1:26" s="69" customFormat="1" ht="15" customHeight="1" outlineLevel="1" collapsed="1" x14ac:dyDescent="0.25">
      <c r="A52" s="26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45.68</v>
      </c>
      <c r="E52" s="2"/>
      <c r="F52" s="6">
        <f t="shared" si="0"/>
        <v>3.5795608330221071E-4</v>
      </c>
      <c r="G52" s="2"/>
      <c r="H52" s="2">
        <f>SUM(OSRRefH22_4x_0)</f>
        <v>25</v>
      </c>
      <c r="I52" s="2"/>
      <c r="J52" s="6">
        <f t="shared" si="1"/>
        <v>3.8580246913580245E-4</v>
      </c>
      <c r="K52" s="2"/>
      <c r="L52" s="2">
        <f t="shared" si="2"/>
        <v>20.68</v>
      </c>
      <c r="M52" s="2"/>
      <c r="N52" s="6">
        <f t="shared" si="3"/>
        <v>0.82719999999999994</v>
      </c>
      <c r="O52" s="14"/>
      <c r="P52" s="2">
        <f>SUM(OSRRefP22_4x_0)</f>
        <v>533.96</v>
      </c>
      <c r="Q52" s="2"/>
      <c r="R52" s="6">
        <f t="shared" si="4"/>
        <v>2.7007250573782683E-4</v>
      </c>
      <c r="S52" s="2"/>
      <c r="T52" s="2">
        <f>SUM(OSRRefT22_4x_0)</f>
        <v>250</v>
      </c>
      <c r="U52" s="2"/>
      <c r="V52" s="6">
        <f t="shared" si="5"/>
        <v>2.6304713804713804E-4</v>
      </c>
      <c r="W52" s="2"/>
      <c r="X52" s="2">
        <f t="shared" si="6"/>
        <v>283.96000000000004</v>
      </c>
      <c r="Y52" s="2"/>
      <c r="Z52" s="6">
        <f t="shared" si="7"/>
        <v>1.1358400000000002</v>
      </c>
    </row>
    <row r="53" spans="1:26" s="70" customFormat="1" ht="15" hidden="1" customHeight="1" outlineLevel="2" x14ac:dyDescent="0.25">
      <c r="A53" s="25"/>
      <c r="B53" s="12" t="str">
        <f>CONCATENATE("          ","6381"," - ","BANK/CREDIT CARD FEES")</f>
        <v xml:space="preserve">          6381 - BANK/CREDIT CARD FEES</v>
      </c>
      <c r="C53" s="12"/>
      <c r="D53" s="8">
        <v>45.68</v>
      </c>
      <c r="E53" s="3"/>
      <c r="F53" s="7">
        <f t="shared" si="0"/>
        <v>3.5795608330221071E-4</v>
      </c>
      <c r="G53" s="3"/>
      <c r="H53" s="8">
        <v>25</v>
      </c>
      <c r="I53" s="3"/>
      <c r="J53" s="7">
        <f t="shared" si="1"/>
        <v>3.8580246913580245E-4</v>
      </c>
      <c r="K53" s="3"/>
      <c r="L53" s="8">
        <f t="shared" si="2"/>
        <v>20.68</v>
      </c>
      <c r="M53" s="3"/>
      <c r="N53" s="7">
        <f t="shared" si="3"/>
        <v>0.82719999999999994</v>
      </c>
      <c r="O53" s="12"/>
      <c r="P53" s="8">
        <v>533.96</v>
      </c>
      <c r="Q53" s="3"/>
      <c r="R53" s="7">
        <f t="shared" si="4"/>
        <v>2.7007250573782683E-4</v>
      </c>
      <c r="S53" s="3"/>
      <c r="T53" s="8">
        <v>250</v>
      </c>
      <c r="U53" s="3"/>
      <c r="V53" s="7">
        <f t="shared" si="5"/>
        <v>2.6304713804713804E-4</v>
      </c>
      <c r="W53" s="3"/>
      <c r="X53" s="8">
        <f t="shared" si="6"/>
        <v>283.96000000000004</v>
      </c>
      <c r="Y53" s="3"/>
      <c r="Z53" s="7">
        <f t="shared" si="7"/>
        <v>1.1358400000000002</v>
      </c>
    </row>
    <row r="54" spans="1:26" s="69" customFormat="1" ht="15" customHeight="1" outlineLevel="1" collapsed="1" x14ac:dyDescent="0.25">
      <c r="A54" s="26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213.02</v>
      </c>
      <c r="E54" s="2"/>
      <c r="F54" s="6">
        <f t="shared" si="0"/>
        <v>1.669260176555099E-3</v>
      </c>
      <c r="G54" s="2"/>
      <c r="H54" s="2">
        <f>SUM(OSRRefH22_5x_0)</f>
        <v>213</v>
      </c>
      <c r="I54" s="2"/>
      <c r="J54" s="6">
        <f t="shared" si="1"/>
        <v>3.2870370370370371E-3</v>
      </c>
      <c r="K54" s="2"/>
      <c r="L54" s="2">
        <f t="shared" si="2"/>
        <v>2.0000000000010232E-2</v>
      </c>
      <c r="M54" s="2"/>
      <c r="N54" s="6">
        <f t="shared" si="3"/>
        <v>9.3896713615071505E-5</v>
      </c>
      <c r="O54" s="14"/>
      <c r="P54" s="2">
        <f>SUM(OSRRefP22_5x_0)</f>
        <v>2343.2199999999998</v>
      </c>
      <c r="Q54" s="2"/>
      <c r="R54" s="6">
        <f t="shared" si="4"/>
        <v>1.1851810938927831E-3</v>
      </c>
      <c r="S54" s="2"/>
      <c r="T54" s="2">
        <f>SUM(OSRRefT22_5x_0)</f>
        <v>2343</v>
      </c>
      <c r="U54" s="2"/>
      <c r="V54" s="6">
        <f t="shared" si="5"/>
        <v>2.4652777777777776E-3</v>
      </c>
      <c r="W54" s="2"/>
      <c r="X54" s="2">
        <f t="shared" si="6"/>
        <v>0.21999999999979991</v>
      </c>
      <c r="Y54" s="2"/>
      <c r="Z54" s="6">
        <f t="shared" si="7"/>
        <v>9.389671361493808E-5</v>
      </c>
    </row>
    <row r="55" spans="1:26" s="70" customFormat="1" ht="15" hidden="1" customHeight="1" outlineLevel="2" x14ac:dyDescent="0.25">
      <c r="A55" s="25"/>
      <c r="B55" s="12" t="str">
        <f>CONCATENATE("          ","6322"," - ","EQUIPMENT DEPRECIATION EXPENSE")</f>
        <v xml:space="preserve">          6322 - EQUIPMENT DEPRECIATION EXPENSE</v>
      </c>
      <c r="C55" s="12"/>
      <c r="D55" s="8">
        <v>213.02</v>
      </c>
      <c r="E55" s="3"/>
      <c r="F55" s="7">
        <f t="shared" si="0"/>
        <v>1.669260176555099E-3</v>
      </c>
      <c r="G55" s="3"/>
      <c r="H55" s="8">
        <v>213</v>
      </c>
      <c r="I55" s="3"/>
      <c r="J55" s="7">
        <f t="shared" si="1"/>
        <v>3.2870370370370371E-3</v>
      </c>
      <c r="K55" s="3"/>
      <c r="L55" s="8">
        <f t="shared" si="2"/>
        <v>2.0000000000010232E-2</v>
      </c>
      <c r="M55" s="3"/>
      <c r="N55" s="7">
        <f t="shared" si="3"/>
        <v>9.3896713615071505E-5</v>
      </c>
      <c r="O55" s="12"/>
      <c r="P55" s="8">
        <v>2343.2199999999998</v>
      </c>
      <c r="Q55" s="3"/>
      <c r="R55" s="7">
        <f t="shared" si="4"/>
        <v>1.1851810938927831E-3</v>
      </c>
      <c r="S55" s="3"/>
      <c r="T55" s="8">
        <v>2343</v>
      </c>
      <c r="U55" s="3"/>
      <c r="V55" s="7">
        <f t="shared" si="5"/>
        <v>2.4652777777777776E-3</v>
      </c>
      <c r="W55" s="3"/>
      <c r="X55" s="8">
        <f t="shared" si="6"/>
        <v>0.21999999999979991</v>
      </c>
      <c r="Y55" s="3"/>
      <c r="Z55" s="7">
        <f t="shared" si="7"/>
        <v>9.389671361493808E-5</v>
      </c>
    </row>
    <row r="56" spans="1:26" s="69" customFormat="1" ht="15" customHeight="1" outlineLevel="1" collapsed="1" x14ac:dyDescent="0.25">
      <c r="A56" s="26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718.98</v>
      </c>
      <c r="E56" s="2"/>
      <c r="F56" s="6">
        <f t="shared" si="0"/>
        <v>5.6340469521152245E-3</v>
      </c>
      <c r="G56" s="2"/>
      <c r="H56" s="2">
        <f>SUM(OSRRefH22_6x_0)</f>
        <v>3000</v>
      </c>
      <c r="I56" s="2"/>
      <c r="J56" s="6">
        <f t="shared" si="1"/>
        <v>4.6296296296296294E-2</v>
      </c>
      <c r="K56" s="2"/>
      <c r="L56" s="2">
        <f t="shared" si="2"/>
        <v>-2281.02</v>
      </c>
      <c r="M56" s="2"/>
      <c r="N56" s="6">
        <f t="shared" si="3"/>
        <v>-0.76034000000000002</v>
      </c>
      <c r="O56" s="14"/>
      <c r="P56" s="2">
        <f>SUM(OSRRefP22_6x_0)</f>
        <v>12120.01</v>
      </c>
      <c r="Q56" s="2"/>
      <c r="R56" s="6">
        <f t="shared" si="4"/>
        <v>6.1301997720194746E-3</v>
      </c>
      <c r="S56" s="2"/>
      <c r="T56" s="2">
        <f>SUM(OSRRefT22_6x_0)</f>
        <v>30000</v>
      </c>
      <c r="U56" s="2"/>
      <c r="V56" s="6">
        <f t="shared" si="5"/>
        <v>3.1565656565656568E-2</v>
      </c>
      <c r="W56" s="2"/>
      <c r="X56" s="2">
        <f t="shared" si="6"/>
        <v>-17879.989999999998</v>
      </c>
      <c r="Y56" s="2"/>
      <c r="Z56" s="6">
        <f t="shared" si="7"/>
        <v>-0.59599966666666659</v>
      </c>
    </row>
    <row r="57" spans="1:26" s="70" customFormat="1" ht="15" hidden="1" customHeight="1" outlineLevel="2" x14ac:dyDescent="0.25">
      <c r="A57" s="25"/>
      <c r="B57" s="12" t="str">
        <f>CONCATENATE("          ","6399"," - ","DONATION-ON CAMPUS")</f>
        <v xml:space="preserve">          6399 - DONATION-ON CAMPUS</v>
      </c>
      <c r="C57" s="12"/>
      <c r="D57" s="8">
        <v>718.98</v>
      </c>
      <c r="E57" s="3"/>
      <c r="F57" s="7">
        <f t="shared" ref="F57:F88" si="8">IF(D$12=0,0,D57/D$12)</f>
        <v>5.6340469521152245E-3</v>
      </c>
      <c r="G57" s="3"/>
      <c r="H57" s="8">
        <v>3000</v>
      </c>
      <c r="I57" s="3"/>
      <c r="J57" s="7">
        <f t="shared" ref="J57:J88" si="9">IF(H$12=0,0,H57/H$12)</f>
        <v>4.6296296296296294E-2</v>
      </c>
      <c r="K57" s="3"/>
      <c r="L57" s="8">
        <f t="shared" ref="L57:L88" si="10">+D57-H57</f>
        <v>-2281.02</v>
      </c>
      <c r="M57" s="3"/>
      <c r="N57" s="7">
        <f t="shared" ref="N57:N88" si="11">IF(H57=0,0,L57/H57)</f>
        <v>-0.76034000000000002</v>
      </c>
      <c r="O57" s="12"/>
      <c r="P57" s="8">
        <v>12120.01</v>
      </c>
      <c r="Q57" s="3"/>
      <c r="R57" s="7">
        <f t="shared" ref="R57:R88" si="12">IF(P$12=0,0,P57/P$12)</f>
        <v>6.1301997720194746E-3</v>
      </c>
      <c r="S57" s="3"/>
      <c r="T57" s="8">
        <v>30000</v>
      </c>
      <c r="U57" s="3"/>
      <c r="V57" s="7">
        <f t="shared" ref="V57:V88" si="13">IF(T$12=0,0,T57/T$12)</f>
        <v>3.1565656565656568E-2</v>
      </c>
      <c r="W57" s="3"/>
      <c r="X57" s="8">
        <f t="shared" ref="X57:X88" si="14">+P57-T57</f>
        <v>-17879.989999999998</v>
      </c>
      <c r="Y57" s="3"/>
      <c r="Z57" s="7">
        <f t="shared" ref="Z57:Z88" si="15">IF(T57=0,0,X57/T57)</f>
        <v>-0.59599966666666659</v>
      </c>
    </row>
    <row r="58" spans="1:26" s="69" customFormat="1" ht="15" customHeight="1" outlineLevel="1" collapsed="1" x14ac:dyDescent="0.25">
      <c r="A58" s="26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50</v>
      </c>
      <c r="I58" s="2"/>
      <c r="J58" s="6">
        <f t="shared" si="9"/>
        <v>7.716049382716049E-4</v>
      </c>
      <c r="K58" s="2"/>
      <c r="L58" s="2">
        <f t="shared" si="10"/>
        <v>-50</v>
      </c>
      <c r="M58" s="2"/>
      <c r="N58" s="6">
        <f t="shared" si="11"/>
        <v>-1</v>
      </c>
      <c r="O58" s="14"/>
      <c r="P58" s="2">
        <f>SUM(OSRRefP22_7x_0)</f>
        <v>90.47</v>
      </c>
      <c r="Q58" s="2"/>
      <c r="R58" s="6">
        <f t="shared" si="12"/>
        <v>4.5758969949249368E-5</v>
      </c>
      <c r="S58" s="2"/>
      <c r="T58" s="2">
        <f>SUM(OSRRefT22_7x_0)</f>
        <v>550</v>
      </c>
      <c r="U58" s="2"/>
      <c r="V58" s="6">
        <f t="shared" si="13"/>
        <v>5.7870370370370367E-4</v>
      </c>
      <c r="W58" s="2"/>
      <c r="X58" s="2">
        <f t="shared" si="14"/>
        <v>-459.53</v>
      </c>
      <c r="Y58" s="2"/>
      <c r="Z58" s="6">
        <f t="shared" si="15"/>
        <v>-0.83550909090909087</v>
      </c>
    </row>
    <row r="59" spans="1:26" s="70" customFormat="1" ht="15" hidden="1" customHeight="1" outlineLevel="2" x14ac:dyDescent="0.25">
      <c r="A59" s="25"/>
      <c r="B59" s="12" t="str">
        <f>CONCATENATE("          ","6277"," - ","EMPLOYEE APPRECIATION")</f>
        <v xml:space="preserve">          6277 - EMPLOYEE APPRECIATION</v>
      </c>
      <c r="C59" s="12"/>
      <c r="D59" s="8"/>
      <c r="E59" s="3"/>
      <c r="F59" s="7">
        <f t="shared" si="8"/>
        <v>0</v>
      </c>
      <c r="G59" s="3"/>
      <c r="H59" s="8">
        <v>50</v>
      </c>
      <c r="I59" s="3"/>
      <c r="J59" s="7">
        <f t="shared" si="9"/>
        <v>7.716049382716049E-4</v>
      </c>
      <c r="K59" s="3"/>
      <c r="L59" s="8">
        <f t="shared" si="10"/>
        <v>-50</v>
      </c>
      <c r="M59" s="3"/>
      <c r="N59" s="7">
        <f t="shared" si="11"/>
        <v>-1</v>
      </c>
      <c r="O59" s="12"/>
      <c r="P59" s="8">
        <v>90.47</v>
      </c>
      <c r="Q59" s="3"/>
      <c r="R59" s="7">
        <f t="shared" si="12"/>
        <v>4.5758969949249368E-5</v>
      </c>
      <c r="S59" s="3"/>
      <c r="T59" s="8">
        <v>550</v>
      </c>
      <c r="U59" s="3"/>
      <c r="V59" s="7">
        <f t="shared" si="13"/>
        <v>5.7870370370370367E-4</v>
      </c>
      <c r="W59" s="3"/>
      <c r="X59" s="8">
        <f t="shared" si="14"/>
        <v>-459.53</v>
      </c>
      <c r="Y59" s="3"/>
      <c r="Z59" s="7">
        <f t="shared" si="15"/>
        <v>-0.83550909090909087</v>
      </c>
    </row>
    <row r="60" spans="1:26" s="69" customFormat="1" ht="15" customHeight="1" outlineLevel="1" collapsed="1" x14ac:dyDescent="0.25">
      <c r="A60" s="26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SUM(OSRRefD22_8x_0)</f>
        <v>0</v>
      </c>
      <c r="E60" s="2"/>
      <c r="F60" s="6">
        <f t="shared" si="8"/>
        <v>0</v>
      </c>
      <c r="G60" s="2"/>
      <c r="H60" s="2">
        <f>SUM(OSRRefH22_8x_0)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2071.98</v>
      </c>
      <c r="Q60" s="2"/>
      <c r="R60" s="6">
        <f t="shared" si="12"/>
        <v>1.0479901686243583E-3</v>
      </c>
      <c r="S60" s="2"/>
      <c r="T60" s="2">
        <f>SUM(OSRRefT22_8x_0)</f>
        <v>2300</v>
      </c>
      <c r="U60" s="2"/>
      <c r="V60" s="6">
        <f t="shared" si="13"/>
        <v>2.4200336700336699E-3</v>
      </c>
      <c r="W60" s="2"/>
      <c r="X60" s="2">
        <f t="shared" si="14"/>
        <v>-228.01999999999998</v>
      </c>
      <c r="Y60" s="2"/>
      <c r="Z60" s="6">
        <f t="shared" si="15"/>
        <v>-9.9139130434782605E-2</v>
      </c>
    </row>
    <row r="61" spans="1:26" s="70" customFormat="1" ht="15" hidden="1" customHeight="1" outlineLevel="2" x14ac:dyDescent="0.25">
      <c r="A61" s="25"/>
      <c r="B61" s="12" t="str">
        <f>CONCATENATE("          ","6279"," - ","GENERAL EXPENSE")</f>
        <v xml:space="preserve">          6279 - GENERAL EXPENSE</v>
      </c>
      <c r="C61" s="12"/>
      <c r="D61" s="8"/>
      <c r="E61" s="3"/>
      <c r="F61" s="7">
        <f t="shared" si="8"/>
        <v>0</v>
      </c>
      <c r="G61" s="3"/>
      <c r="H61" s="8"/>
      <c r="I61" s="3"/>
      <c r="J61" s="7">
        <f t="shared" si="9"/>
        <v>0</v>
      </c>
      <c r="K61" s="3"/>
      <c r="L61" s="8">
        <f t="shared" si="10"/>
        <v>0</v>
      </c>
      <c r="M61" s="3"/>
      <c r="N61" s="7">
        <f t="shared" si="11"/>
        <v>0</v>
      </c>
      <c r="O61" s="12"/>
      <c r="P61" s="8">
        <v>2071.98</v>
      </c>
      <c r="Q61" s="3"/>
      <c r="R61" s="7">
        <f t="shared" si="12"/>
        <v>1.0479901686243583E-3</v>
      </c>
      <c r="S61" s="3"/>
      <c r="T61" s="8">
        <v>2300</v>
      </c>
      <c r="U61" s="3"/>
      <c r="V61" s="7">
        <f t="shared" si="13"/>
        <v>2.4200336700336699E-3</v>
      </c>
      <c r="W61" s="3"/>
      <c r="X61" s="8">
        <f t="shared" si="14"/>
        <v>-228.01999999999998</v>
      </c>
      <c r="Y61" s="3"/>
      <c r="Z61" s="7">
        <f t="shared" si="15"/>
        <v>-9.9139130434782605E-2</v>
      </c>
    </row>
    <row r="62" spans="1:26" s="69" customFormat="1" ht="15" customHeight="1" outlineLevel="1" collapsed="1" x14ac:dyDescent="0.25">
      <c r="A62" s="26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SUM(OSRRefD22_9x_0)</f>
        <v>5.21</v>
      </c>
      <c r="E62" s="2"/>
      <c r="F62" s="6">
        <f t="shared" si="8"/>
        <v>4.0826427189240753E-5</v>
      </c>
      <c r="G62" s="2"/>
      <c r="H62" s="2">
        <f>SUM(OSRRefH22_9x_0)</f>
        <v>10</v>
      </c>
      <c r="I62" s="2"/>
      <c r="J62" s="6">
        <f t="shared" si="9"/>
        <v>1.5432098765432098E-4</v>
      </c>
      <c r="K62" s="2"/>
      <c r="L62" s="2">
        <f t="shared" si="10"/>
        <v>-4.79</v>
      </c>
      <c r="M62" s="2"/>
      <c r="N62" s="6">
        <f t="shared" si="11"/>
        <v>-0.47899999999999998</v>
      </c>
      <c r="O62" s="14"/>
      <c r="P62" s="2">
        <f>SUM(OSRRefP22_9x_0)</f>
        <v>57.32</v>
      </c>
      <c r="Q62" s="2"/>
      <c r="R62" s="6">
        <f t="shared" si="12"/>
        <v>2.8991976981220006E-5</v>
      </c>
      <c r="S62" s="2"/>
      <c r="T62" s="2">
        <f>SUM(OSRRefT22_9x_0)</f>
        <v>110</v>
      </c>
      <c r="U62" s="2"/>
      <c r="V62" s="6">
        <f t="shared" si="13"/>
        <v>1.1574074074074075E-4</v>
      </c>
      <c r="W62" s="2"/>
      <c r="X62" s="2">
        <f t="shared" si="14"/>
        <v>-52.68</v>
      </c>
      <c r="Y62" s="2"/>
      <c r="Z62" s="6">
        <f t="shared" si="15"/>
        <v>-0.4789090909090909</v>
      </c>
    </row>
    <row r="63" spans="1:26" s="70" customFormat="1" ht="15" hidden="1" customHeight="1" outlineLevel="2" x14ac:dyDescent="0.25">
      <c r="A63" s="25"/>
      <c r="B63" s="12" t="str">
        <f>CONCATENATE("          ","6314"," - ","LIABILITY INSURANCE")</f>
        <v xml:space="preserve">          6314 - LIABILITY INSURANCE</v>
      </c>
      <c r="C63" s="12"/>
      <c r="D63" s="8">
        <v>5.21</v>
      </c>
      <c r="E63" s="3"/>
      <c r="F63" s="7">
        <f t="shared" si="8"/>
        <v>4.0826427189240753E-5</v>
      </c>
      <c r="G63" s="3"/>
      <c r="H63" s="8">
        <v>10</v>
      </c>
      <c r="I63" s="3"/>
      <c r="J63" s="7">
        <f t="shared" si="9"/>
        <v>1.5432098765432098E-4</v>
      </c>
      <c r="K63" s="3"/>
      <c r="L63" s="8">
        <f t="shared" si="10"/>
        <v>-4.79</v>
      </c>
      <c r="M63" s="3"/>
      <c r="N63" s="7">
        <f t="shared" si="11"/>
        <v>-0.47899999999999998</v>
      </c>
      <c r="O63" s="12"/>
      <c r="P63" s="8">
        <v>57.32</v>
      </c>
      <c r="Q63" s="3"/>
      <c r="R63" s="7">
        <f t="shared" si="12"/>
        <v>2.8991976981220006E-5</v>
      </c>
      <c r="S63" s="3"/>
      <c r="T63" s="8">
        <v>110</v>
      </c>
      <c r="U63" s="3"/>
      <c r="V63" s="7">
        <f t="shared" si="13"/>
        <v>1.1574074074074075E-4</v>
      </c>
      <c r="W63" s="3"/>
      <c r="X63" s="8">
        <f t="shared" si="14"/>
        <v>-52.68</v>
      </c>
      <c r="Y63" s="3"/>
      <c r="Z63" s="7">
        <f t="shared" si="15"/>
        <v>-0.4789090909090909</v>
      </c>
    </row>
    <row r="64" spans="1:26" s="69" customFormat="1" ht="15" customHeight="1" outlineLevel="1" collapsed="1" x14ac:dyDescent="0.25">
      <c r="A64" s="26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10260.620000000001</v>
      </c>
      <c r="E64" s="2"/>
      <c r="F64" s="6">
        <f t="shared" si="8"/>
        <v>8.0403926170147313E-2</v>
      </c>
      <c r="G64" s="2"/>
      <c r="H64" s="2">
        <f>SUM(OSRRefH22_10x_0)</f>
        <v>5184</v>
      </c>
      <c r="I64" s="2"/>
      <c r="J64" s="6">
        <f t="shared" si="9"/>
        <v>0.08</v>
      </c>
      <c r="K64" s="2"/>
      <c r="L64" s="2">
        <f t="shared" si="10"/>
        <v>5076.6200000000008</v>
      </c>
      <c r="M64" s="2"/>
      <c r="N64" s="6">
        <f t="shared" si="11"/>
        <v>0.97928626543209896</v>
      </c>
      <c r="O64" s="14"/>
      <c r="P64" s="2">
        <f>SUM(OSRRefP22_10x_0)</f>
        <v>153578.54</v>
      </c>
      <c r="Q64" s="2"/>
      <c r="R64" s="6">
        <f t="shared" si="12"/>
        <v>7.7678742088091002E-2</v>
      </c>
      <c r="S64" s="2"/>
      <c r="T64" s="2">
        <f>SUM(OSRRefT22_10x_0)</f>
        <v>76032</v>
      </c>
      <c r="U64" s="2"/>
      <c r="V64" s="6">
        <f t="shared" si="13"/>
        <v>0.08</v>
      </c>
      <c r="W64" s="2"/>
      <c r="X64" s="2">
        <f t="shared" si="14"/>
        <v>77546.540000000008</v>
      </c>
      <c r="Y64" s="2"/>
      <c r="Z64" s="6">
        <f t="shared" si="15"/>
        <v>1.0199197706228957</v>
      </c>
    </row>
    <row r="65" spans="1:26" s="70" customFormat="1" ht="15" hidden="1" customHeight="1" outlineLevel="2" x14ac:dyDescent="0.25">
      <c r="A65" s="25"/>
      <c r="B65" s="12" t="str">
        <f>CONCATENATE("          ","6387"," - ","COMMISSION DUE HOUSING")</f>
        <v xml:space="preserve">          6387 - COMMISSION DUE HOUSING</v>
      </c>
      <c r="C65" s="12"/>
      <c r="D65" s="8">
        <v>10260.620000000001</v>
      </c>
      <c r="E65" s="3"/>
      <c r="F65" s="7">
        <f t="shared" si="8"/>
        <v>8.0403926170147313E-2</v>
      </c>
      <c r="G65" s="3"/>
      <c r="H65" s="8">
        <v>5184</v>
      </c>
      <c r="I65" s="3"/>
      <c r="J65" s="7">
        <f t="shared" si="9"/>
        <v>0.08</v>
      </c>
      <c r="K65" s="3"/>
      <c r="L65" s="8">
        <f t="shared" si="10"/>
        <v>5076.6200000000008</v>
      </c>
      <c r="M65" s="3"/>
      <c r="N65" s="7">
        <f t="shared" si="11"/>
        <v>0.97928626543209896</v>
      </c>
      <c r="O65" s="12"/>
      <c r="P65" s="8">
        <v>153578.54</v>
      </c>
      <c r="Q65" s="3"/>
      <c r="R65" s="7">
        <f t="shared" si="12"/>
        <v>7.7678742088091002E-2</v>
      </c>
      <c r="S65" s="3"/>
      <c r="T65" s="8">
        <v>76032</v>
      </c>
      <c r="U65" s="3"/>
      <c r="V65" s="7">
        <f t="shared" si="13"/>
        <v>0.08</v>
      </c>
      <c r="W65" s="3"/>
      <c r="X65" s="8">
        <f t="shared" si="14"/>
        <v>77546.540000000008</v>
      </c>
      <c r="Y65" s="3"/>
      <c r="Z65" s="7">
        <f t="shared" si="15"/>
        <v>1.0199197706228957</v>
      </c>
    </row>
    <row r="66" spans="1:26" s="69" customFormat="1" ht="15" customHeight="1" outlineLevel="1" collapsed="1" x14ac:dyDescent="0.25">
      <c r="A66" s="26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0</v>
      </c>
      <c r="E66" s="2"/>
      <c r="F66" s="6">
        <f t="shared" si="8"/>
        <v>0</v>
      </c>
      <c r="G66" s="2"/>
      <c r="H66" s="2">
        <f>SUM(OSRRefH22_11x_0)</f>
        <v>100</v>
      </c>
      <c r="I66" s="2"/>
      <c r="J66" s="6">
        <f t="shared" si="9"/>
        <v>1.5432098765432098E-3</v>
      </c>
      <c r="K66" s="2"/>
      <c r="L66" s="2">
        <f t="shared" si="10"/>
        <v>-100</v>
      </c>
      <c r="M66" s="2"/>
      <c r="N66" s="6">
        <f t="shared" si="11"/>
        <v>-1</v>
      </c>
      <c r="O66" s="14"/>
      <c r="P66" s="2">
        <f>SUM(OSRRefP22_11x_0)</f>
        <v>2538.2799999999997</v>
      </c>
      <c r="Q66" s="2"/>
      <c r="R66" s="6">
        <f t="shared" si="12"/>
        <v>1.2838408117915405E-3</v>
      </c>
      <c r="S66" s="2"/>
      <c r="T66" s="2">
        <f>SUM(OSRRefT22_11x_0)</f>
        <v>5600</v>
      </c>
      <c r="U66" s="2"/>
      <c r="V66" s="6">
        <f t="shared" si="13"/>
        <v>5.8922558922558923E-3</v>
      </c>
      <c r="W66" s="2"/>
      <c r="X66" s="2">
        <f t="shared" si="14"/>
        <v>-3061.7200000000003</v>
      </c>
      <c r="Y66" s="2"/>
      <c r="Z66" s="6">
        <f t="shared" si="15"/>
        <v>-0.54673571428571432</v>
      </c>
    </row>
    <row r="67" spans="1:26" s="70" customFormat="1" ht="15" hidden="1" customHeight="1" outlineLevel="2" x14ac:dyDescent="0.25">
      <c r="A67" s="25"/>
      <c r="B67" s="12" t="str">
        <f>CONCATENATE("          ","6371"," - ","COMPUTER SOFTWARE MAINTENANCE")</f>
        <v xml:space="preserve">          6371 - COMPUTER SOFTWARE MAINTENANCE</v>
      </c>
      <c r="C67" s="12"/>
      <c r="D67" s="8"/>
      <c r="E67" s="3"/>
      <c r="F67" s="7">
        <f t="shared" si="8"/>
        <v>0</v>
      </c>
      <c r="G67" s="3"/>
      <c r="H67" s="8"/>
      <c r="I67" s="3"/>
      <c r="J67" s="7">
        <f t="shared" si="9"/>
        <v>0</v>
      </c>
      <c r="K67" s="3"/>
      <c r="L67" s="8">
        <f t="shared" si="10"/>
        <v>0</v>
      </c>
      <c r="M67" s="3"/>
      <c r="N67" s="7">
        <f t="shared" si="11"/>
        <v>0</v>
      </c>
      <c r="O67" s="12"/>
      <c r="P67" s="8"/>
      <c r="Q67" s="3"/>
      <c r="R67" s="7">
        <f t="shared" si="12"/>
        <v>0</v>
      </c>
      <c r="S67" s="3"/>
      <c r="T67" s="8">
        <v>0</v>
      </c>
      <c r="U67" s="3"/>
      <c r="V67" s="7">
        <f t="shared" si="13"/>
        <v>0</v>
      </c>
      <c r="W67" s="3"/>
      <c r="X67" s="8">
        <f t="shared" si="14"/>
        <v>0</v>
      </c>
      <c r="Y67" s="3"/>
      <c r="Z67" s="7">
        <f t="shared" si="15"/>
        <v>0</v>
      </c>
    </row>
    <row r="68" spans="1:26" s="70" customFormat="1" ht="15" hidden="1" customHeight="1" outlineLevel="2" x14ac:dyDescent="0.25">
      <c r="A68" s="25"/>
      <c r="B68" s="12" t="str">
        <f>CONCATENATE("          ","6373"," - ","MAINTENANCE CONTRACTS")</f>
        <v xml:space="preserve">          6373 - MAINTENANCE CONTRACTS</v>
      </c>
      <c r="C68" s="12"/>
      <c r="D68" s="8"/>
      <c r="E68" s="3"/>
      <c r="F68" s="7">
        <f t="shared" si="8"/>
        <v>0</v>
      </c>
      <c r="G68" s="3"/>
      <c r="H68" s="8"/>
      <c r="I68" s="3"/>
      <c r="J68" s="7">
        <f t="shared" si="9"/>
        <v>0</v>
      </c>
      <c r="K68" s="3"/>
      <c r="L68" s="8">
        <f t="shared" si="10"/>
        <v>0</v>
      </c>
      <c r="M68" s="3"/>
      <c r="N68" s="7">
        <f t="shared" si="11"/>
        <v>0</v>
      </c>
      <c r="O68" s="12"/>
      <c r="P68" s="8">
        <v>221.66</v>
      </c>
      <c r="Q68" s="3"/>
      <c r="R68" s="7">
        <f t="shared" si="12"/>
        <v>1.1211377560462712E-4</v>
      </c>
      <c r="S68" s="3"/>
      <c r="T68" s="8">
        <v>4500</v>
      </c>
      <c r="U68" s="3"/>
      <c r="V68" s="7">
        <f t="shared" si="13"/>
        <v>4.734848484848485E-3</v>
      </c>
      <c r="W68" s="3"/>
      <c r="X68" s="8">
        <f t="shared" si="14"/>
        <v>-4278.34</v>
      </c>
      <c r="Y68" s="3"/>
      <c r="Z68" s="7">
        <f t="shared" si="15"/>
        <v>-0.95074222222222227</v>
      </c>
    </row>
    <row r="69" spans="1:26" s="70" customFormat="1" ht="15" hidden="1" customHeight="1" outlineLevel="2" x14ac:dyDescent="0.25">
      <c r="A69" s="25"/>
      <c r="B69" s="12" t="str">
        <f>CONCATENATE("          ","6375"," - ","OUTSIDE REPAIRS &amp; MAINTENANCE")</f>
        <v xml:space="preserve">          6375 - OUTSIDE REPAIRS &amp; MAINTENANCE</v>
      </c>
      <c r="C69" s="12"/>
      <c r="D69" s="8"/>
      <c r="E69" s="3"/>
      <c r="F69" s="7">
        <f t="shared" si="8"/>
        <v>0</v>
      </c>
      <c r="G69" s="3"/>
      <c r="H69" s="8">
        <v>100</v>
      </c>
      <c r="I69" s="3"/>
      <c r="J69" s="7">
        <f t="shared" si="9"/>
        <v>1.5432098765432098E-3</v>
      </c>
      <c r="K69" s="3"/>
      <c r="L69" s="8">
        <f t="shared" si="10"/>
        <v>-100</v>
      </c>
      <c r="M69" s="3"/>
      <c r="N69" s="7">
        <f t="shared" si="11"/>
        <v>-1</v>
      </c>
      <c r="O69" s="12"/>
      <c r="P69" s="8">
        <v>2316.62</v>
      </c>
      <c r="Q69" s="3"/>
      <c r="R69" s="7">
        <f t="shared" si="12"/>
        <v>1.1717270361869135E-3</v>
      </c>
      <c r="S69" s="3"/>
      <c r="T69" s="8">
        <v>1100</v>
      </c>
      <c r="U69" s="3"/>
      <c r="V69" s="7">
        <f t="shared" si="13"/>
        <v>1.1574074074074073E-3</v>
      </c>
      <c r="W69" s="3"/>
      <c r="X69" s="8">
        <f t="shared" si="14"/>
        <v>1216.6199999999999</v>
      </c>
      <c r="Y69" s="3"/>
      <c r="Z69" s="7">
        <f t="shared" si="15"/>
        <v>1.1060181818181818</v>
      </c>
    </row>
    <row r="70" spans="1:26" s="69" customFormat="1" ht="15" customHeight="1" outlineLevel="1" collapsed="1" x14ac:dyDescent="0.25">
      <c r="A70" s="26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4881.8099999999995</v>
      </c>
      <c r="E70" s="2"/>
      <c r="F70" s="6">
        <f t="shared" si="8"/>
        <v>3.8254675722976465E-2</v>
      </c>
      <c r="G70" s="2"/>
      <c r="H70" s="2">
        <f>SUM(OSRRefH22_12x_0)</f>
        <v>7224</v>
      </c>
      <c r="I70" s="2"/>
      <c r="J70" s="6">
        <f t="shared" si="9"/>
        <v>0.11148148148148149</v>
      </c>
      <c r="K70" s="2"/>
      <c r="L70" s="2">
        <f t="shared" si="10"/>
        <v>-2342.1900000000005</v>
      </c>
      <c r="M70" s="2"/>
      <c r="N70" s="6">
        <f t="shared" si="11"/>
        <v>-0.32422342192691039</v>
      </c>
      <c r="O70" s="14"/>
      <c r="P70" s="2">
        <f>SUM(OSRRefP22_12x_0)</f>
        <v>54155.579999999994</v>
      </c>
      <c r="Q70" s="2"/>
      <c r="R70" s="6">
        <f t="shared" si="12"/>
        <v>2.7391439790031721E-2</v>
      </c>
      <c r="S70" s="2"/>
      <c r="T70" s="2">
        <f>SUM(OSRRefT22_12x_0)</f>
        <v>76352</v>
      </c>
      <c r="U70" s="2"/>
      <c r="V70" s="6">
        <f t="shared" si="13"/>
        <v>8.0336700336700331E-2</v>
      </c>
      <c r="W70" s="2"/>
      <c r="X70" s="2">
        <f t="shared" si="14"/>
        <v>-22196.420000000006</v>
      </c>
      <c r="Y70" s="2"/>
      <c r="Z70" s="6">
        <f t="shared" si="15"/>
        <v>-0.29071170368818111</v>
      </c>
    </row>
    <row r="71" spans="1:26" s="70" customFormat="1" ht="15" hidden="1" customHeight="1" outlineLevel="2" x14ac:dyDescent="0.25">
      <c r="A71" s="25"/>
      <c r="B71" s="12" t="str">
        <f>CONCATENATE("          ","6282"," - ","JANITORIAL/EXTERMINATOR EXPENS")</f>
        <v xml:space="preserve">          6282 - JANITORIAL/EXTERMINATOR EXPENS</v>
      </c>
      <c r="C71" s="12"/>
      <c r="D71" s="8">
        <v>729.95</v>
      </c>
      <c r="E71" s="3"/>
      <c r="F71" s="7">
        <f t="shared" si="8"/>
        <v>5.7200096980395956E-3</v>
      </c>
      <c r="G71" s="3"/>
      <c r="H71" s="8">
        <v>670</v>
      </c>
      <c r="I71" s="3"/>
      <c r="J71" s="7">
        <f t="shared" si="9"/>
        <v>1.0339506172839507E-2</v>
      </c>
      <c r="K71" s="3"/>
      <c r="L71" s="8">
        <f t="shared" si="10"/>
        <v>59.950000000000045</v>
      </c>
      <c r="M71" s="3"/>
      <c r="N71" s="7">
        <f t="shared" si="11"/>
        <v>8.9477611940298574E-2</v>
      </c>
      <c r="O71" s="12"/>
      <c r="P71" s="8">
        <v>7338.2</v>
      </c>
      <c r="Q71" s="3"/>
      <c r="R71" s="7">
        <f t="shared" si="12"/>
        <v>3.7116002352335768E-3</v>
      </c>
      <c r="S71" s="3"/>
      <c r="T71" s="8">
        <v>7370</v>
      </c>
      <c r="U71" s="3"/>
      <c r="V71" s="7">
        <f t="shared" si="13"/>
        <v>7.7546296296296295E-3</v>
      </c>
      <c r="W71" s="3"/>
      <c r="X71" s="8">
        <f t="shared" si="14"/>
        <v>-31.800000000000182</v>
      </c>
      <c r="Y71" s="3"/>
      <c r="Z71" s="7">
        <f t="shared" si="15"/>
        <v>-4.3147896879240409E-3</v>
      </c>
    </row>
    <row r="72" spans="1:26" s="70" customFormat="1" ht="15" hidden="1" customHeight="1" outlineLevel="2" x14ac:dyDescent="0.25">
      <c r="A72" s="25"/>
      <c r="B72" s="12" t="str">
        <f>CONCATENATE("          ","6284"," - ","TRASH REMOVAL EXPENSE")</f>
        <v xml:space="preserve">          6284 - TRASH REMOVAL EXPENSE</v>
      </c>
      <c r="C72" s="12"/>
      <c r="D72" s="8"/>
      <c r="E72" s="3"/>
      <c r="F72" s="7">
        <f t="shared" si="8"/>
        <v>0</v>
      </c>
      <c r="G72" s="3"/>
      <c r="H72" s="8">
        <v>50</v>
      </c>
      <c r="I72" s="3"/>
      <c r="J72" s="7">
        <f t="shared" si="9"/>
        <v>7.716049382716049E-4</v>
      </c>
      <c r="K72" s="3"/>
      <c r="L72" s="8">
        <f t="shared" si="10"/>
        <v>-50</v>
      </c>
      <c r="M72" s="3"/>
      <c r="N72" s="7">
        <f t="shared" si="11"/>
        <v>-1</v>
      </c>
      <c r="O72" s="12"/>
      <c r="P72" s="8"/>
      <c r="Q72" s="3"/>
      <c r="R72" s="7">
        <f t="shared" si="12"/>
        <v>0</v>
      </c>
      <c r="S72" s="3"/>
      <c r="T72" s="8">
        <v>550</v>
      </c>
      <c r="U72" s="3"/>
      <c r="V72" s="7">
        <f t="shared" si="13"/>
        <v>5.7870370370370367E-4</v>
      </c>
      <c r="W72" s="3"/>
      <c r="X72" s="8">
        <f t="shared" si="14"/>
        <v>-550</v>
      </c>
      <c r="Y72" s="3"/>
      <c r="Z72" s="7">
        <f t="shared" si="15"/>
        <v>-1</v>
      </c>
    </row>
    <row r="73" spans="1:26" s="70" customFormat="1" ht="15" hidden="1" customHeight="1" outlineLevel="2" x14ac:dyDescent="0.25">
      <c r="A73" s="25"/>
      <c r="B73" s="12" t="str">
        <f>CONCATENATE("          ","6285"," - ","JANITORIAL SERVICES")</f>
        <v xml:space="preserve">          6285 - JANITORIAL SERVICES</v>
      </c>
      <c r="C73" s="12"/>
      <c r="D73" s="8">
        <v>4151.8599999999997</v>
      </c>
      <c r="E73" s="3"/>
      <c r="F73" s="7">
        <f t="shared" si="8"/>
        <v>3.2534666024936876E-2</v>
      </c>
      <c r="G73" s="3"/>
      <c r="H73" s="8">
        <v>4904</v>
      </c>
      <c r="I73" s="3"/>
      <c r="J73" s="7">
        <f t="shared" si="9"/>
        <v>7.5679012345679017E-2</v>
      </c>
      <c r="K73" s="3"/>
      <c r="L73" s="8">
        <f t="shared" si="10"/>
        <v>-752.14000000000033</v>
      </c>
      <c r="M73" s="3"/>
      <c r="N73" s="7">
        <f t="shared" si="11"/>
        <v>-0.15337275693311589</v>
      </c>
      <c r="O73" s="12"/>
      <c r="P73" s="8">
        <v>39562.93</v>
      </c>
      <c r="Q73" s="3"/>
      <c r="R73" s="7">
        <f t="shared" si="12"/>
        <v>2.0010599369672338E-2</v>
      </c>
      <c r="S73" s="3"/>
      <c r="T73" s="8">
        <v>52432</v>
      </c>
      <c r="U73" s="3"/>
      <c r="V73" s="7">
        <f t="shared" si="13"/>
        <v>5.5168350168350165E-2</v>
      </c>
      <c r="W73" s="3"/>
      <c r="X73" s="8">
        <f t="shared" si="14"/>
        <v>-12869.07</v>
      </c>
      <c r="Y73" s="3"/>
      <c r="Z73" s="7">
        <f t="shared" si="15"/>
        <v>-0.24544305004577358</v>
      </c>
    </row>
    <row r="74" spans="1:26" s="70" customFormat="1" ht="15" hidden="1" customHeight="1" outlineLevel="2" x14ac:dyDescent="0.25">
      <c r="A74" s="25"/>
      <c r="B74" s="12" t="str">
        <f>CONCATENATE("          ","6286"," - ","LAUNDRY EXPENSE")</f>
        <v xml:space="preserve">          6286 - LAUNDRY EXPENSE</v>
      </c>
      <c r="C74" s="12"/>
      <c r="D74" s="8"/>
      <c r="E74" s="3"/>
      <c r="F74" s="7">
        <f t="shared" si="8"/>
        <v>0</v>
      </c>
      <c r="G74" s="3"/>
      <c r="H74" s="8">
        <v>1600</v>
      </c>
      <c r="I74" s="3"/>
      <c r="J74" s="7">
        <f t="shared" si="9"/>
        <v>2.4691358024691357E-2</v>
      </c>
      <c r="K74" s="3"/>
      <c r="L74" s="8">
        <f t="shared" si="10"/>
        <v>-1600</v>
      </c>
      <c r="M74" s="3"/>
      <c r="N74" s="7">
        <f t="shared" si="11"/>
        <v>-1</v>
      </c>
      <c r="O74" s="12"/>
      <c r="P74" s="8">
        <v>7254.45</v>
      </c>
      <c r="Q74" s="3"/>
      <c r="R74" s="7">
        <f t="shared" si="12"/>
        <v>3.6692401851258103E-3</v>
      </c>
      <c r="S74" s="3"/>
      <c r="T74" s="8">
        <v>16000</v>
      </c>
      <c r="U74" s="3"/>
      <c r="V74" s="7">
        <f t="shared" si="13"/>
        <v>1.6835016835016835E-2</v>
      </c>
      <c r="W74" s="3"/>
      <c r="X74" s="8">
        <f t="shared" si="14"/>
        <v>-8745.5499999999993</v>
      </c>
      <c r="Y74" s="3"/>
      <c r="Z74" s="7">
        <f t="shared" si="15"/>
        <v>-0.54659687499999998</v>
      </c>
    </row>
    <row r="75" spans="1:26" s="69" customFormat="1" ht="15" customHeight="1" outlineLevel="1" collapsed="1" x14ac:dyDescent="0.25">
      <c r="A75" s="26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4980.74</v>
      </c>
      <c r="E75" s="2"/>
      <c r="F75" s="6">
        <f t="shared" si="8"/>
        <v>3.9029907669585216E-2</v>
      </c>
      <c r="G75" s="2"/>
      <c r="H75" s="2">
        <f>SUM(OSRRefH22_13x_0)</f>
        <v>4446</v>
      </c>
      <c r="I75" s="2"/>
      <c r="J75" s="6">
        <f t="shared" si="9"/>
        <v>6.8611111111111109E-2</v>
      </c>
      <c r="K75" s="2"/>
      <c r="L75" s="2">
        <f t="shared" si="10"/>
        <v>534.73999999999978</v>
      </c>
      <c r="M75" s="2"/>
      <c r="N75" s="6">
        <f t="shared" si="11"/>
        <v>0.12027440395861444</v>
      </c>
      <c r="O75" s="14"/>
      <c r="P75" s="2">
        <f>SUM(OSRRefP22_13x_0)</f>
        <v>93790.839999999982</v>
      </c>
      <c r="Q75" s="2"/>
      <c r="R75" s="6">
        <f t="shared" si="12"/>
        <v>4.7438623069247871E-2</v>
      </c>
      <c r="S75" s="2"/>
      <c r="T75" s="2">
        <f>SUM(OSRRefT22_13x_0)</f>
        <v>59006</v>
      </c>
      <c r="U75" s="2"/>
      <c r="V75" s="6">
        <f t="shared" si="13"/>
        <v>6.2085437710437709E-2</v>
      </c>
      <c r="W75" s="2"/>
      <c r="X75" s="2">
        <f t="shared" si="14"/>
        <v>34784.839999999982</v>
      </c>
      <c r="Y75" s="2"/>
      <c r="Z75" s="6">
        <f t="shared" si="15"/>
        <v>0.58951360878554693</v>
      </c>
    </row>
    <row r="76" spans="1:26" s="70" customFormat="1" ht="15" hidden="1" customHeight="1" outlineLevel="2" x14ac:dyDescent="0.25">
      <c r="A76" s="25"/>
      <c r="B76" s="12" t="str">
        <f>CONCATENATE("          ","6237"," - ","JANITORIAL SUPPLIES")</f>
        <v xml:space="preserve">          6237 - JANITORIAL SUPPLIES</v>
      </c>
      <c r="C76" s="12"/>
      <c r="D76" s="8">
        <v>3594.73</v>
      </c>
      <c r="E76" s="3"/>
      <c r="F76" s="7">
        <f t="shared" si="8"/>
        <v>2.8168902612280118E-2</v>
      </c>
      <c r="G76" s="3"/>
      <c r="H76" s="8">
        <v>2000</v>
      </c>
      <c r="I76" s="3"/>
      <c r="J76" s="7">
        <f t="shared" si="9"/>
        <v>3.0864197530864196E-2</v>
      </c>
      <c r="K76" s="3"/>
      <c r="L76" s="8">
        <f t="shared" si="10"/>
        <v>1594.73</v>
      </c>
      <c r="M76" s="3"/>
      <c r="N76" s="7">
        <f t="shared" si="11"/>
        <v>0.79736499999999999</v>
      </c>
      <c r="O76" s="12"/>
      <c r="P76" s="8">
        <v>33380.93</v>
      </c>
      <c r="Q76" s="3"/>
      <c r="R76" s="7">
        <f t="shared" si="12"/>
        <v>1.6883795432165321E-2</v>
      </c>
      <c r="S76" s="3"/>
      <c r="T76" s="8">
        <v>25000</v>
      </c>
      <c r="U76" s="3"/>
      <c r="V76" s="7">
        <f t="shared" si="13"/>
        <v>2.6304713804713806E-2</v>
      </c>
      <c r="W76" s="3"/>
      <c r="X76" s="8">
        <f t="shared" si="14"/>
        <v>8380.93</v>
      </c>
      <c r="Y76" s="3"/>
      <c r="Z76" s="7">
        <f t="shared" si="15"/>
        <v>0.33523720000000001</v>
      </c>
    </row>
    <row r="77" spans="1:26" s="70" customFormat="1" ht="15" hidden="1" customHeight="1" outlineLevel="2" x14ac:dyDescent="0.25">
      <c r="A77" s="25"/>
      <c r="B77" s="12" t="str">
        <f>CONCATENATE("          ","6239"," - ","KITCHEN SUPPLIES")</f>
        <v xml:space="preserve">          6239 - KITCHEN SUPPLIES</v>
      </c>
      <c r="C77" s="12"/>
      <c r="D77" s="8">
        <v>176.2</v>
      </c>
      <c r="E77" s="3"/>
      <c r="F77" s="7">
        <f t="shared" si="8"/>
        <v>1.3807325279739386E-3</v>
      </c>
      <c r="G77" s="3"/>
      <c r="H77" s="8"/>
      <c r="I77" s="3"/>
      <c r="J77" s="7">
        <f t="shared" si="9"/>
        <v>0</v>
      </c>
      <c r="K77" s="3"/>
      <c r="L77" s="8">
        <f t="shared" si="10"/>
        <v>176.2</v>
      </c>
      <c r="M77" s="3"/>
      <c r="N77" s="7">
        <f t="shared" si="11"/>
        <v>0</v>
      </c>
      <c r="O77" s="12"/>
      <c r="P77" s="8">
        <v>11670.66</v>
      </c>
      <c r="Q77" s="3"/>
      <c r="R77" s="7">
        <f t="shared" si="12"/>
        <v>5.9029222972024611E-3</v>
      </c>
      <c r="S77" s="3"/>
      <c r="T77" s="8">
        <v>9100</v>
      </c>
      <c r="U77" s="3"/>
      <c r="V77" s="7">
        <f t="shared" si="13"/>
        <v>9.5749158249158247E-3</v>
      </c>
      <c r="W77" s="3"/>
      <c r="X77" s="8">
        <f t="shared" si="14"/>
        <v>2570.66</v>
      </c>
      <c r="Y77" s="3"/>
      <c r="Z77" s="7">
        <f t="shared" si="15"/>
        <v>0.28249010989010986</v>
      </c>
    </row>
    <row r="78" spans="1:26" s="70" customFormat="1" ht="15" hidden="1" customHeight="1" outlineLevel="2" x14ac:dyDescent="0.25">
      <c r="A78" s="25"/>
      <c r="B78" s="12" t="str">
        <f>CONCATENATE("          ","6241"," - ","OFFICE EXPENSE")</f>
        <v xml:space="preserve">          6241 - OFFICE EXPENSE</v>
      </c>
      <c r="C78" s="12"/>
      <c r="D78" s="8">
        <v>83.77</v>
      </c>
      <c r="E78" s="3"/>
      <c r="F78" s="7">
        <f t="shared" si="8"/>
        <v>6.5643566327115124E-4</v>
      </c>
      <c r="G78" s="3"/>
      <c r="H78" s="8">
        <v>125</v>
      </c>
      <c r="I78" s="3"/>
      <c r="J78" s="7">
        <f t="shared" si="9"/>
        <v>1.9290123456790122E-3</v>
      </c>
      <c r="K78" s="3"/>
      <c r="L78" s="8">
        <f t="shared" si="10"/>
        <v>-41.230000000000004</v>
      </c>
      <c r="M78" s="3"/>
      <c r="N78" s="7">
        <f t="shared" si="11"/>
        <v>-0.32984000000000002</v>
      </c>
      <c r="O78" s="12"/>
      <c r="P78" s="8">
        <v>6408.11</v>
      </c>
      <c r="Q78" s="3"/>
      <c r="R78" s="7">
        <f t="shared" si="12"/>
        <v>3.2411684859233376E-3</v>
      </c>
      <c r="S78" s="3"/>
      <c r="T78" s="8">
        <v>1375</v>
      </c>
      <c r="U78" s="3"/>
      <c r="V78" s="7">
        <f t="shared" si="13"/>
        <v>1.4467592592592592E-3</v>
      </c>
      <c r="W78" s="3"/>
      <c r="X78" s="8">
        <f t="shared" si="14"/>
        <v>5033.1099999999997</v>
      </c>
      <c r="Y78" s="3"/>
      <c r="Z78" s="7">
        <f t="shared" si="15"/>
        <v>3.6604436363636363</v>
      </c>
    </row>
    <row r="79" spans="1:26" s="70" customFormat="1" ht="15" hidden="1" customHeight="1" outlineLevel="2" x14ac:dyDescent="0.25">
      <c r="A79" s="25"/>
      <c r="B79" s="12" t="str">
        <f>CONCATENATE("          ","6243"," - ","PAPER SUPPLIES")</f>
        <v xml:space="preserve">          6243 - PAPER SUPPLIES</v>
      </c>
      <c r="C79" s="12"/>
      <c r="D79" s="8">
        <v>1126.04</v>
      </c>
      <c r="E79" s="3"/>
      <c r="F79" s="7">
        <f t="shared" si="8"/>
        <v>8.8238368660600117E-3</v>
      </c>
      <c r="G79" s="3"/>
      <c r="H79" s="8">
        <v>2000</v>
      </c>
      <c r="I79" s="3"/>
      <c r="J79" s="7">
        <f t="shared" si="9"/>
        <v>3.0864197530864196E-2</v>
      </c>
      <c r="K79" s="3"/>
      <c r="L79" s="8">
        <f t="shared" si="10"/>
        <v>-873.96</v>
      </c>
      <c r="M79" s="3"/>
      <c r="N79" s="7">
        <f t="shared" si="11"/>
        <v>-0.43698000000000004</v>
      </c>
      <c r="O79" s="12"/>
      <c r="P79" s="8">
        <v>39808.1</v>
      </c>
      <c r="Q79" s="3"/>
      <c r="R79" s="7">
        <f t="shared" si="12"/>
        <v>2.0134604306805724E-2</v>
      </c>
      <c r="S79" s="3"/>
      <c r="T79" s="8">
        <v>20000</v>
      </c>
      <c r="U79" s="3"/>
      <c r="V79" s="7">
        <f t="shared" si="13"/>
        <v>2.1043771043771045E-2</v>
      </c>
      <c r="W79" s="3"/>
      <c r="X79" s="8">
        <f t="shared" si="14"/>
        <v>19808.099999999999</v>
      </c>
      <c r="Y79" s="3"/>
      <c r="Z79" s="7">
        <f t="shared" si="15"/>
        <v>0.99040499999999998</v>
      </c>
    </row>
    <row r="80" spans="1:26" s="70" customFormat="1" ht="15" hidden="1" customHeight="1" outlineLevel="2" x14ac:dyDescent="0.25">
      <c r="A80" s="25"/>
      <c r="B80" s="12" t="str">
        <f>CONCATENATE("          ","6244"," - ","SAFETY SUPPLY EXPENSE")</f>
        <v xml:space="preserve">          6244 - SAFETY SUPPLY EXPENSE</v>
      </c>
      <c r="C80" s="12"/>
      <c r="D80" s="8"/>
      <c r="E80" s="3"/>
      <c r="F80" s="7">
        <f t="shared" si="8"/>
        <v>0</v>
      </c>
      <c r="G80" s="3"/>
      <c r="H80" s="8">
        <v>125</v>
      </c>
      <c r="I80" s="3"/>
      <c r="J80" s="7">
        <f t="shared" si="9"/>
        <v>1.9290123456790122E-3</v>
      </c>
      <c r="K80" s="3"/>
      <c r="L80" s="8">
        <f t="shared" si="10"/>
        <v>-125</v>
      </c>
      <c r="M80" s="3"/>
      <c r="N80" s="7">
        <f t="shared" si="11"/>
        <v>-1</v>
      </c>
      <c r="O80" s="12"/>
      <c r="P80" s="8"/>
      <c r="Q80" s="3"/>
      <c r="R80" s="7">
        <f t="shared" si="12"/>
        <v>0</v>
      </c>
      <c r="S80" s="3"/>
      <c r="T80" s="8">
        <v>1375</v>
      </c>
      <c r="U80" s="3"/>
      <c r="V80" s="7">
        <f t="shared" si="13"/>
        <v>1.4467592592592592E-3</v>
      </c>
      <c r="W80" s="3"/>
      <c r="X80" s="8">
        <f t="shared" si="14"/>
        <v>-1375</v>
      </c>
      <c r="Y80" s="3"/>
      <c r="Z80" s="7">
        <f t="shared" si="15"/>
        <v>-1</v>
      </c>
    </row>
    <row r="81" spans="1:26" s="70" customFormat="1" ht="15" hidden="1" customHeight="1" outlineLevel="2" x14ac:dyDescent="0.25">
      <c r="A81" s="25"/>
      <c r="B81" s="12" t="str">
        <f>CONCATENATE("          ","6247"," - ","STORE SUPPLIES")</f>
        <v xml:space="preserve">          6247 - STORE SUPPLIES</v>
      </c>
      <c r="C81" s="12"/>
      <c r="D81" s="8"/>
      <c r="E81" s="3"/>
      <c r="F81" s="7">
        <f t="shared" si="8"/>
        <v>0</v>
      </c>
      <c r="G81" s="3"/>
      <c r="H81" s="8"/>
      <c r="I81" s="3"/>
      <c r="J81" s="7">
        <f t="shared" si="9"/>
        <v>0</v>
      </c>
      <c r="K81" s="3"/>
      <c r="L81" s="8">
        <f t="shared" si="10"/>
        <v>0</v>
      </c>
      <c r="M81" s="3"/>
      <c r="N81" s="7">
        <f t="shared" si="11"/>
        <v>0</v>
      </c>
      <c r="O81" s="12"/>
      <c r="P81" s="8">
        <v>652.62</v>
      </c>
      <c r="Q81" s="3"/>
      <c r="R81" s="7">
        <f t="shared" si="12"/>
        <v>3.3008974210543964E-4</v>
      </c>
      <c r="S81" s="3"/>
      <c r="T81" s="8"/>
      <c r="U81" s="3"/>
      <c r="V81" s="7">
        <f t="shared" si="13"/>
        <v>0</v>
      </c>
      <c r="W81" s="3"/>
      <c r="X81" s="8">
        <f t="shared" si="14"/>
        <v>652.62</v>
      </c>
      <c r="Y81" s="3"/>
      <c r="Z81" s="7">
        <f t="shared" si="15"/>
        <v>0</v>
      </c>
    </row>
    <row r="82" spans="1:26" s="70" customFormat="1" ht="15" hidden="1" customHeight="1" outlineLevel="2" x14ac:dyDescent="0.25">
      <c r="A82" s="25"/>
      <c r="B82" s="12" t="str">
        <f>CONCATENATE("          ","6248"," - ","UNIFORMS")</f>
        <v xml:space="preserve">          6248 - UNIFORMS</v>
      </c>
      <c r="C82" s="12"/>
      <c r="D82" s="8"/>
      <c r="E82" s="3"/>
      <c r="F82" s="7">
        <f t="shared" si="8"/>
        <v>0</v>
      </c>
      <c r="G82" s="3"/>
      <c r="H82" s="8">
        <v>196</v>
      </c>
      <c r="I82" s="3"/>
      <c r="J82" s="7">
        <f t="shared" si="9"/>
        <v>3.0246913580246914E-3</v>
      </c>
      <c r="K82" s="3"/>
      <c r="L82" s="8">
        <f t="shared" si="10"/>
        <v>-196</v>
      </c>
      <c r="M82" s="3"/>
      <c r="N82" s="7">
        <f t="shared" si="11"/>
        <v>-1</v>
      </c>
      <c r="O82" s="12"/>
      <c r="P82" s="8">
        <v>1870.42</v>
      </c>
      <c r="Q82" s="3"/>
      <c r="R82" s="7">
        <f t="shared" si="12"/>
        <v>9.4604280504559531E-4</v>
      </c>
      <c r="S82" s="3"/>
      <c r="T82" s="8">
        <v>2156</v>
      </c>
      <c r="U82" s="3"/>
      <c r="V82" s="7">
        <f t="shared" si="13"/>
        <v>2.2685185185185187E-3</v>
      </c>
      <c r="W82" s="3"/>
      <c r="X82" s="8">
        <f t="shared" si="14"/>
        <v>-285.57999999999993</v>
      </c>
      <c r="Y82" s="3"/>
      <c r="Z82" s="7">
        <f t="shared" si="15"/>
        <v>-0.13245825602968456</v>
      </c>
    </row>
    <row r="83" spans="1:26" s="69" customFormat="1" ht="15" customHeight="1" outlineLevel="1" collapsed="1" x14ac:dyDescent="0.25">
      <c r="A83" s="26"/>
      <c r="B83" s="14" t="str">
        <f>CONCATENATE("     ","Telephone/Data Lines                              ")</f>
        <v xml:space="preserve">     Telephone/Data Lines                              </v>
      </c>
      <c r="C83" s="14"/>
      <c r="D83" s="2">
        <f>SUM(OSRRefD22_14x_0)</f>
        <v>186</v>
      </c>
      <c r="E83" s="2"/>
      <c r="F83" s="6">
        <f t="shared" si="8"/>
        <v>1.4575269591552361E-3</v>
      </c>
      <c r="G83" s="2"/>
      <c r="H83" s="2">
        <f>SUM(OSRRefH22_14x_0)</f>
        <v>125</v>
      </c>
      <c r="I83" s="2"/>
      <c r="J83" s="6">
        <f t="shared" si="9"/>
        <v>1.9290123456790122E-3</v>
      </c>
      <c r="K83" s="2"/>
      <c r="L83" s="2">
        <f t="shared" si="10"/>
        <v>61</v>
      </c>
      <c r="M83" s="2"/>
      <c r="N83" s="6">
        <f t="shared" si="11"/>
        <v>0.48799999999999999</v>
      </c>
      <c r="O83" s="14"/>
      <c r="P83" s="2">
        <f>SUM(OSRRefP22_14x_0)</f>
        <v>1886.85</v>
      </c>
      <c r="Q83" s="2"/>
      <c r="R83" s="6">
        <f t="shared" si="12"/>
        <v>9.5435296174136363E-4</v>
      </c>
      <c r="S83" s="2"/>
      <c r="T83" s="2">
        <f>SUM(OSRRefT22_14x_0)</f>
        <v>1375</v>
      </c>
      <c r="U83" s="2"/>
      <c r="V83" s="6">
        <f t="shared" si="13"/>
        <v>1.4467592592592592E-3</v>
      </c>
      <c r="W83" s="2"/>
      <c r="X83" s="2">
        <f t="shared" si="14"/>
        <v>511.84999999999991</v>
      </c>
      <c r="Y83" s="2"/>
      <c r="Z83" s="6">
        <f t="shared" si="15"/>
        <v>0.37225454545454539</v>
      </c>
    </row>
    <row r="84" spans="1:26" s="70" customFormat="1" ht="15" hidden="1" customHeight="1" outlineLevel="2" x14ac:dyDescent="0.25">
      <c r="A84" s="25"/>
      <c r="B84" s="12" t="str">
        <f>CONCATENATE("          ","6309"," - ","TELEPHONE")</f>
        <v xml:space="preserve">          6309 - TELEPHONE</v>
      </c>
      <c r="C84" s="12"/>
      <c r="D84" s="8">
        <v>186</v>
      </c>
      <c r="E84" s="3"/>
      <c r="F84" s="7">
        <f t="shared" si="8"/>
        <v>1.4575269591552361E-3</v>
      </c>
      <c r="G84" s="3"/>
      <c r="H84" s="8">
        <v>125</v>
      </c>
      <c r="I84" s="3"/>
      <c r="J84" s="7">
        <f t="shared" si="9"/>
        <v>1.9290123456790122E-3</v>
      </c>
      <c r="K84" s="3"/>
      <c r="L84" s="8">
        <f t="shared" si="10"/>
        <v>61</v>
      </c>
      <c r="M84" s="3"/>
      <c r="N84" s="7">
        <f t="shared" si="11"/>
        <v>0.48799999999999999</v>
      </c>
      <c r="O84" s="12"/>
      <c r="P84" s="8">
        <v>1886.85</v>
      </c>
      <c r="Q84" s="3"/>
      <c r="R84" s="7">
        <f t="shared" si="12"/>
        <v>9.5435296174136363E-4</v>
      </c>
      <c r="S84" s="3"/>
      <c r="T84" s="8">
        <v>1375</v>
      </c>
      <c r="U84" s="3"/>
      <c r="V84" s="7">
        <f t="shared" si="13"/>
        <v>1.4467592592592592E-3</v>
      </c>
      <c r="W84" s="3"/>
      <c r="X84" s="8">
        <f t="shared" si="14"/>
        <v>511.84999999999991</v>
      </c>
      <c r="Y84" s="3"/>
      <c r="Z84" s="7">
        <f t="shared" si="15"/>
        <v>0.37225454545454539</v>
      </c>
    </row>
    <row r="85" spans="1:26" s="69" customFormat="1" ht="15" customHeight="1" outlineLevel="1" collapsed="1" x14ac:dyDescent="0.25">
      <c r="A85" s="26"/>
      <c r="B85" s="14" t="str">
        <f>CONCATENATE("     ","Training                                          ")</f>
        <v xml:space="preserve">     Training                                          </v>
      </c>
      <c r="C85" s="14"/>
      <c r="D85" s="2">
        <f>SUM(OSRRefD22_15x_0)</f>
        <v>0</v>
      </c>
      <c r="E85" s="2"/>
      <c r="F85" s="6">
        <f t="shared" si="8"/>
        <v>0</v>
      </c>
      <c r="G85" s="2"/>
      <c r="H85" s="2">
        <f>SUM(OSRRefH22_15x_0)</f>
        <v>165</v>
      </c>
      <c r="I85" s="2"/>
      <c r="J85" s="6">
        <f t="shared" si="9"/>
        <v>2.5462962962962965E-3</v>
      </c>
      <c r="K85" s="2"/>
      <c r="L85" s="2">
        <f t="shared" si="10"/>
        <v>-165</v>
      </c>
      <c r="M85" s="2"/>
      <c r="N85" s="6">
        <f t="shared" si="11"/>
        <v>-1</v>
      </c>
      <c r="O85" s="14"/>
      <c r="P85" s="2">
        <f>SUM(OSRRefP22_15x_0)</f>
        <v>312</v>
      </c>
      <c r="Q85" s="2"/>
      <c r="R85" s="6">
        <f t="shared" si="12"/>
        <v>1.5780699264027637E-4</v>
      </c>
      <c r="S85" s="2"/>
      <c r="T85" s="2">
        <f>SUM(OSRRefT22_15x_0)</f>
        <v>1835</v>
      </c>
      <c r="U85" s="2"/>
      <c r="V85" s="6">
        <f t="shared" si="13"/>
        <v>1.9307659932659932E-3</v>
      </c>
      <c r="W85" s="2"/>
      <c r="X85" s="2">
        <f t="shared" si="14"/>
        <v>-1523</v>
      </c>
      <c r="Y85" s="2"/>
      <c r="Z85" s="6">
        <f t="shared" si="15"/>
        <v>-0.82997275204359677</v>
      </c>
    </row>
    <row r="86" spans="1:26" s="70" customFormat="1" ht="15" hidden="1" customHeight="1" outlineLevel="2" x14ac:dyDescent="0.25">
      <c r="A86" s="25"/>
      <c r="B86" s="12" t="str">
        <f>CONCATENATE("          ","6376"," - ","TRAINING")</f>
        <v xml:space="preserve">          6376 - TRAINING</v>
      </c>
      <c r="C86" s="12"/>
      <c r="D86" s="8"/>
      <c r="E86" s="3"/>
      <c r="F86" s="7">
        <f t="shared" si="8"/>
        <v>0</v>
      </c>
      <c r="G86" s="3"/>
      <c r="H86" s="8">
        <v>165</v>
      </c>
      <c r="I86" s="3"/>
      <c r="J86" s="7">
        <f t="shared" si="9"/>
        <v>2.5462962962962965E-3</v>
      </c>
      <c r="K86" s="3"/>
      <c r="L86" s="8">
        <f t="shared" si="10"/>
        <v>-165</v>
      </c>
      <c r="M86" s="3"/>
      <c r="N86" s="7">
        <f t="shared" si="11"/>
        <v>-1</v>
      </c>
      <c r="O86" s="12"/>
      <c r="P86" s="8">
        <v>312</v>
      </c>
      <c r="Q86" s="3"/>
      <c r="R86" s="7">
        <f t="shared" si="12"/>
        <v>1.5780699264027637E-4</v>
      </c>
      <c r="S86" s="3"/>
      <c r="T86" s="8">
        <v>1835</v>
      </c>
      <c r="U86" s="3"/>
      <c r="V86" s="7">
        <f t="shared" si="13"/>
        <v>1.9307659932659932E-3</v>
      </c>
      <c r="W86" s="3"/>
      <c r="X86" s="8">
        <f t="shared" si="14"/>
        <v>-1523</v>
      </c>
      <c r="Y86" s="3"/>
      <c r="Z86" s="7">
        <f t="shared" si="15"/>
        <v>-0.82997275204359677</v>
      </c>
    </row>
    <row r="87" spans="1:26" s="69" customFormat="1" ht="15" customHeight="1" outlineLevel="1" collapsed="1" x14ac:dyDescent="0.25">
      <c r="A87" s="26"/>
      <c r="B87" s="14" t="str">
        <f>CONCATENATE("     ","Travel                                            ")</f>
        <v xml:space="preserve">     Travel                                            </v>
      </c>
      <c r="C87" s="14"/>
      <c r="D87" s="2">
        <f>SUM(OSRRefD22_16x_0)</f>
        <v>121.37</v>
      </c>
      <c r="E87" s="2"/>
      <c r="F87" s="6">
        <f t="shared" si="8"/>
        <v>9.5107552168102706E-4</v>
      </c>
      <c r="G87" s="2"/>
      <c r="H87" s="2">
        <f>SUM(OSRRefH22_16x_0)</f>
        <v>0</v>
      </c>
      <c r="I87" s="2"/>
      <c r="J87" s="6">
        <f t="shared" si="9"/>
        <v>0</v>
      </c>
      <c r="K87" s="2"/>
      <c r="L87" s="2">
        <f t="shared" si="10"/>
        <v>121.37</v>
      </c>
      <c r="M87" s="2"/>
      <c r="N87" s="6">
        <f t="shared" si="11"/>
        <v>0</v>
      </c>
      <c r="O87" s="14"/>
      <c r="P87" s="2">
        <f>SUM(OSRRefP22_16x_0)</f>
        <v>360.41</v>
      </c>
      <c r="Q87" s="2"/>
      <c r="R87" s="6">
        <f t="shared" si="12"/>
        <v>1.8229236608167311E-4</v>
      </c>
      <c r="S87" s="2"/>
      <c r="T87" s="2">
        <f>SUM(OSRRefT22_16x_0)</f>
        <v>0</v>
      </c>
      <c r="U87" s="2"/>
      <c r="V87" s="6">
        <f t="shared" si="13"/>
        <v>0</v>
      </c>
      <c r="W87" s="2"/>
      <c r="X87" s="2">
        <f t="shared" si="14"/>
        <v>360.41</v>
      </c>
      <c r="Y87" s="2"/>
      <c r="Z87" s="6">
        <f t="shared" si="15"/>
        <v>0</v>
      </c>
    </row>
    <row r="88" spans="1:26" s="70" customFormat="1" ht="15" hidden="1" customHeight="1" outlineLevel="2" x14ac:dyDescent="0.25">
      <c r="A88" s="25"/>
      <c r="B88" s="12" t="str">
        <f>CONCATENATE("          ","6298"," - ","VEHICLE MILEAGE")</f>
        <v xml:space="preserve">          6298 - VEHICLE MILEAGE</v>
      </c>
      <c r="C88" s="12"/>
      <c r="D88" s="8">
        <v>121.37</v>
      </c>
      <c r="E88" s="3"/>
      <c r="F88" s="7">
        <f t="shared" si="8"/>
        <v>9.5107552168102706E-4</v>
      </c>
      <c r="G88" s="3"/>
      <c r="H88" s="8"/>
      <c r="I88" s="3"/>
      <c r="J88" s="7">
        <f t="shared" si="9"/>
        <v>0</v>
      </c>
      <c r="K88" s="3"/>
      <c r="L88" s="8">
        <f t="shared" si="10"/>
        <v>121.37</v>
      </c>
      <c r="M88" s="3"/>
      <c r="N88" s="7">
        <f t="shared" si="11"/>
        <v>0</v>
      </c>
      <c r="O88" s="12"/>
      <c r="P88" s="8">
        <v>360.41</v>
      </c>
      <c r="Q88" s="3"/>
      <c r="R88" s="7">
        <f t="shared" si="12"/>
        <v>1.8229236608167311E-4</v>
      </c>
      <c r="S88" s="3"/>
      <c r="T88" s="8"/>
      <c r="U88" s="3"/>
      <c r="V88" s="7">
        <f t="shared" si="13"/>
        <v>0</v>
      </c>
      <c r="W88" s="3"/>
      <c r="X88" s="8">
        <f t="shared" si="14"/>
        <v>360.41</v>
      </c>
      <c r="Y88" s="3"/>
      <c r="Z88" s="7">
        <f t="shared" si="15"/>
        <v>0</v>
      </c>
    </row>
    <row r="89" spans="1:26" s="65" customFormat="1" ht="15" customHeight="1" x14ac:dyDescent="0.25">
      <c r="A89" s="35"/>
      <c r="B89" s="35"/>
      <c r="C89" s="35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35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63" customFormat="1" ht="15" customHeight="1" x14ac:dyDescent="0.25">
      <c r="A90" s="11"/>
      <c r="B90" s="27" t="s">
        <v>291</v>
      </c>
      <c r="C90" s="11"/>
      <c r="D90" s="5">
        <f>SUM(0)</f>
        <v>0</v>
      </c>
      <c r="E90" s="5"/>
      <c r="F90" s="13">
        <f>IF(D$12=0,0,D90/D$12)</f>
        <v>0</v>
      </c>
      <c r="G90" s="5"/>
      <c r="H90" s="5">
        <f>SUM(0)</f>
        <v>0</v>
      </c>
      <c r="I90" s="5"/>
      <c r="J90" s="13">
        <f>IF(H$12=0,0,H90/H$12)</f>
        <v>0</v>
      </c>
      <c r="K90" s="5"/>
      <c r="L90" s="5">
        <f>+D90-H90</f>
        <v>0</v>
      </c>
      <c r="M90" s="5"/>
      <c r="N90" s="13">
        <f>IF(H90=0,0,L90/H90)</f>
        <v>0</v>
      </c>
      <c r="O90" s="11"/>
      <c r="P90" s="5">
        <f>SUM(0)</f>
        <v>0</v>
      </c>
      <c r="Q90" s="5"/>
      <c r="R90" s="13">
        <f>IF(P$12=0,0,P90/P$12)</f>
        <v>0</v>
      </c>
      <c r="S90" s="5"/>
      <c r="T90" s="5">
        <f>SUM(0)</f>
        <v>0</v>
      </c>
      <c r="U90" s="5"/>
      <c r="V90" s="13">
        <f>IF(T$12=0,0,T90/T$12)</f>
        <v>0</v>
      </c>
      <c r="W90" s="5"/>
      <c r="X90" s="5">
        <f>+P90-T90</f>
        <v>0</v>
      </c>
      <c r="Y90" s="5"/>
      <c r="Z90" s="13">
        <f>IF(T90=0,0,X90/T90)</f>
        <v>0</v>
      </c>
    </row>
    <row r="91" spans="1:26" ht="15" customHeight="1" x14ac:dyDescent="0.25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25">
      <c r="A92" s="11"/>
      <c r="B92" s="28" t="s">
        <v>292</v>
      </c>
      <c r="C92" s="28"/>
      <c r="D92" s="22">
        <f>+D23-D25+D90</f>
        <v>-4167.5</v>
      </c>
      <c r="E92" s="15"/>
      <c r="F92" s="21">
        <f>IF(D$12=0,0,D92/D$12)</f>
        <v>-3.2657223668169068E-2</v>
      </c>
      <c r="G92" s="15"/>
      <c r="H92" s="22">
        <f>+H23-H25+H90</f>
        <v>-50787.21499692311</v>
      </c>
      <c r="I92" s="15"/>
      <c r="J92" s="21">
        <f>IF(H$12=0,0,H92/H$12)</f>
        <v>-0.78375331785375169</v>
      </c>
      <c r="K92" s="16"/>
      <c r="L92" s="22">
        <f>+D92-H92</f>
        <v>46619.71499692311</v>
      </c>
      <c r="M92" s="16"/>
      <c r="N92" s="21">
        <f>IF(H92=0,0,L92/H92)</f>
        <v>-0.91794194660501693</v>
      </c>
      <c r="O92" s="27"/>
      <c r="P92" s="22">
        <f>+P23-P25+P90</f>
        <v>238643.36000000034</v>
      </c>
      <c r="Q92" s="15"/>
      <c r="R92" s="21">
        <f>IF(P$12=0,0,P92/P$12)</f>
        <v>0.12070381716400921</v>
      </c>
      <c r="S92" s="15"/>
      <c r="T92" s="22">
        <f>+T23-T25+T90</f>
        <v>-622835.2914630773</v>
      </c>
      <c r="U92" s="15"/>
      <c r="V92" s="21">
        <f>IF(T$12=0,0,T92/T$12)</f>
        <v>-0.65534016357647018</v>
      </c>
      <c r="W92" s="16"/>
      <c r="X92" s="22">
        <f>+P92-T92</f>
        <v>861478.65146307764</v>
      </c>
      <c r="Y92" s="16"/>
      <c r="Z92" s="21">
        <f>IF(T92=0,0,X92/T92)</f>
        <v>-1.3831564512656513</v>
      </c>
    </row>
    <row r="93" spans="1:26" ht="15" customHeight="1" x14ac:dyDescent="0.25">
      <c r="A93" s="10"/>
      <c r="B93" s="11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25">
      <c r="A94" s="49"/>
      <c r="B94" s="11" t="s">
        <v>293</v>
      </c>
      <c r="C94" s="11"/>
      <c r="D94" s="5">
        <v>12759.15</v>
      </c>
      <c r="E94" s="5"/>
      <c r="F94" s="13">
        <f>IF(D$12=0,0,D94/D$12)</f>
        <v>9.9982823123148018E-2</v>
      </c>
      <c r="G94" s="5"/>
      <c r="H94" s="5">
        <v>8872</v>
      </c>
      <c r="I94" s="5"/>
      <c r="J94" s="13">
        <f>IF(H$12=0,0,H94/H$12)</f>
        <v>0.13691358024691358</v>
      </c>
      <c r="K94" s="5"/>
      <c r="L94" s="5">
        <f>+D94-H94</f>
        <v>3887.1499999999996</v>
      </c>
      <c r="M94" s="5"/>
      <c r="N94" s="13">
        <f>IF(H94=0,0,L94/H94)</f>
        <v>0.43813683498647427</v>
      </c>
      <c r="O94" s="11"/>
      <c r="P94" s="5">
        <v>222276.02</v>
      </c>
      <c r="Q94" s="5"/>
      <c r="R94" s="13">
        <f>IF(P$12=0,0,P94/P$12)</f>
        <v>0.1124253533725959</v>
      </c>
      <c r="S94" s="5"/>
      <c r="T94" s="5">
        <v>117813</v>
      </c>
      <c r="U94" s="5"/>
      <c r="V94" s="13">
        <f>IF(T$12=0,0,T94/T$12)</f>
        <v>0.1239614898989899</v>
      </c>
      <c r="W94" s="5"/>
      <c r="X94" s="5">
        <f>+P94-T94</f>
        <v>104463.01999999999</v>
      </c>
      <c r="Y94" s="5"/>
      <c r="Z94" s="13">
        <f>IF(T94=0,0,X94/T94)</f>
        <v>0.88668500080636259</v>
      </c>
    </row>
    <row r="95" spans="1:26" ht="15" customHeight="1" x14ac:dyDescent="0.25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25">
      <c r="A96" s="11"/>
      <c r="B96" s="28" t="s">
        <v>294</v>
      </c>
      <c r="C96" s="28"/>
      <c r="D96" s="34">
        <f>+D92-D94</f>
        <v>-16926.650000000001</v>
      </c>
      <c r="E96" s="15"/>
      <c r="F96" s="32">
        <f>IF(D$12=0,0,D96/D$12)</f>
        <v>-0.13264004679131711</v>
      </c>
      <c r="G96" s="15"/>
      <c r="H96" s="34">
        <f>+H92-H94</f>
        <v>-59659.21499692311</v>
      </c>
      <c r="I96" s="15"/>
      <c r="J96" s="32">
        <f>IF(H$12=0,0,H96/H$12)</f>
        <v>-0.92066689810066527</v>
      </c>
      <c r="K96" s="16"/>
      <c r="L96" s="34">
        <f>D96-H96</f>
        <v>42732.564996923109</v>
      </c>
      <c r="M96" s="16"/>
      <c r="N96" s="32">
        <f>IF(H96=0,0,L96/H96)</f>
        <v>-0.71627769488966653</v>
      </c>
      <c r="O96" s="27"/>
      <c r="P96" s="34">
        <f>+P92-P94</f>
        <v>16367.340000000346</v>
      </c>
      <c r="Q96" s="15"/>
      <c r="R96" s="32">
        <f>IF(P$12=0,0,P96/P$12)</f>
        <v>8.2784637914133184E-3</v>
      </c>
      <c r="S96" s="15"/>
      <c r="T96" s="34">
        <f>+T92-T94</f>
        <v>-740648.2914630773</v>
      </c>
      <c r="U96" s="15"/>
      <c r="V96" s="32">
        <f>IF(T$12=0,0,T96/T$12)</f>
        <v>-0.7793016534754601</v>
      </c>
      <c r="W96" s="16"/>
      <c r="X96" s="34">
        <f>P96-T96</f>
        <v>757015.63146307762</v>
      </c>
      <c r="Y96" s="16"/>
      <c r="Z96" s="32">
        <f>IF(T96=0,0,X96/T96)</f>
        <v>-1.0220986670578396</v>
      </c>
    </row>
    <row r="97" spans="1:26" ht="15" customHeight="1" x14ac:dyDescent="0.25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ht="15" customHeight="1" x14ac:dyDescent="0.25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25">
      <c r="A99" s="11"/>
      <c r="B99" s="28" t="s">
        <v>297</v>
      </c>
      <c r="C99" s="28"/>
      <c r="D99" s="30">
        <f>SUM(D96:D98)</f>
        <v>-16926.650000000001</v>
      </c>
      <c r="E99" s="15"/>
      <c r="F99" s="33">
        <f>IF(D$12=0,0,D99/D$12)</f>
        <v>-0.13264004679131711</v>
      </c>
      <c r="G99" s="15"/>
      <c r="H99" s="30">
        <f>SUM(H96:H98)</f>
        <v>-59659.21499692311</v>
      </c>
      <c r="I99" s="15"/>
      <c r="J99" s="33">
        <f>IF(H$12=0,0,H99/H$12)</f>
        <v>-0.92066689810066527</v>
      </c>
      <c r="K99" s="16"/>
      <c r="L99" s="30">
        <f>+D99-H99</f>
        <v>42732.564996923109</v>
      </c>
      <c r="M99" s="16"/>
      <c r="N99" s="33">
        <f>IF(H99=0,0,L99/H99)</f>
        <v>-0.71627769488966653</v>
      </c>
      <c r="O99" s="27"/>
      <c r="P99" s="30">
        <f>SUM(P96:P98)</f>
        <v>16367.340000000346</v>
      </c>
      <c r="Q99" s="15"/>
      <c r="R99" s="33">
        <f>IF(P$12=0,0,P99/P$12)</f>
        <v>8.2784637914133184E-3</v>
      </c>
      <c r="S99" s="15"/>
      <c r="T99" s="30">
        <f>SUM(T96:T98)</f>
        <v>-740648.2914630773</v>
      </c>
      <c r="U99" s="15"/>
      <c r="V99" s="33">
        <f>IF(T$12=0,0,T99/T$12)</f>
        <v>-0.7793016534754601</v>
      </c>
      <c r="W99" s="16"/>
      <c r="X99" s="30">
        <f>+P99-T99</f>
        <v>757015.63146307762</v>
      </c>
      <c r="Y99" s="16"/>
      <c r="Z99" s="33">
        <f>IF(T99=0,0,X99/T99)</f>
        <v>-1.0220986670578396</v>
      </c>
    </row>
    <row r="100" spans="1:26" ht="15" customHeight="1" x14ac:dyDescent="0.25">
      <c r="A100" s="10"/>
      <c r="C100" s="10"/>
      <c r="D100" s="18"/>
      <c r="E100" s="18"/>
      <c r="G100" s="18"/>
      <c r="H100" s="18"/>
      <c r="I100" s="18"/>
      <c r="J100" s="40"/>
      <c r="K100" s="18"/>
      <c r="L100" s="18"/>
      <c r="M100" s="18"/>
      <c r="P100" s="18"/>
      <c r="Q100" s="18"/>
      <c r="R100" s="40"/>
      <c r="S100" s="18"/>
      <c r="T100" s="18"/>
      <c r="U100" s="18"/>
      <c r="V100" s="40"/>
      <c r="W100" s="18"/>
      <c r="X100" s="18"/>
    </row>
    <row r="101" spans="1:26" ht="15" customHeight="1" x14ac:dyDescent="0.25">
      <c r="A101" s="10"/>
      <c r="B101" s="54">
        <v>44727.874527581022</v>
      </c>
      <c r="D101" s="18"/>
      <c r="E101" s="18"/>
      <c r="G101" s="18"/>
      <c r="H101" s="18"/>
      <c r="I101" s="18"/>
      <c r="J101" s="40"/>
      <c r="K101" s="18"/>
      <c r="L101" s="18"/>
      <c r="M101" s="18"/>
      <c r="P101" s="18"/>
      <c r="Q101" s="18"/>
      <c r="R101" s="40"/>
      <c r="S101" s="18"/>
      <c r="T101" s="18"/>
      <c r="U101" s="18"/>
      <c r="V101" s="40"/>
      <c r="W101" s="18"/>
      <c r="X101" s="18"/>
    </row>
    <row r="102" spans="1:26" ht="15" customHeight="1" x14ac:dyDescent="0.25">
      <c r="A102" s="10"/>
      <c r="B102" s="50" t="s">
        <v>298</v>
      </c>
      <c r="D102" s="18"/>
      <c r="E102" s="18"/>
      <c r="G102" s="18"/>
      <c r="H102" s="18"/>
      <c r="I102" s="18"/>
      <c r="J102" s="40"/>
      <c r="K102" s="18"/>
      <c r="L102" s="18"/>
      <c r="M102" s="18"/>
      <c r="P102" s="18"/>
      <c r="Q102" s="18"/>
      <c r="R102" s="40"/>
      <c r="S102" s="18"/>
      <c r="T102" s="18"/>
      <c r="U102" s="18"/>
      <c r="V102" s="40"/>
      <c r="W102" s="18"/>
      <c r="X102" s="18"/>
    </row>
    <row r="103" spans="1:26" ht="15" customHeight="1" x14ac:dyDescent="0.25">
      <c r="A103" s="10"/>
      <c r="B103" s="58"/>
      <c r="D103" s="18"/>
      <c r="E103" s="18"/>
      <c r="G103" s="18"/>
      <c r="H103" s="18"/>
      <c r="I103" s="18"/>
      <c r="J103" s="40"/>
      <c r="K103" s="18"/>
      <c r="L103" s="18"/>
      <c r="M103" s="18"/>
      <c r="P103" s="18"/>
      <c r="Q103" s="18"/>
      <c r="R103" s="40"/>
      <c r="S103" s="18"/>
      <c r="T103" s="18"/>
      <c r="U103" s="18"/>
      <c r="V103" s="40"/>
      <c r="W103" s="18"/>
      <c r="X103" s="18"/>
    </row>
    <row r="104" spans="1:26" ht="15" customHeight="1" x14ac:dyDescent="0.25">
      <c r="D104" s="18"/>
      <c r="E104" s="18"/>
      <c r="G104" s="18"/>
      <c r="H104" s="18"/>
      <c r="I104" s="18"/>
      <c r="J104" s="40"/>
      <c r="K104" s="18"/>
      <c r="L104" s="18"/>
      <c r="M104" s="18"/>
      <c r="P104" s="18"/>
      <c r="Q104" s="18"/>
      <c r="R104" s="40"/>
      <c r="S104" s="18"/>
      <c r="T104" s="18"/>
      <c r="U104" s="18"/>
      <c r="V104" s="40"/>
      <c r="W104" s="18"/>
      <c r="X104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95F95-2E23-1614-4854-A544FCDD2B07}">
  <sheetPr>
    <tabColor rgb="FFFFC00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314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38378</v>
      </c>
      <c r="E12" s="5"/>
      <c r="F12" s="13"/>
      <c r="G12" s="5"/>
      <c r="H12" s="5">
        <f>SUM(OSRRefH13x_0)</f>
        <v>34385</v>
      </c>
      <c r="I12" s="5"/>
      <c r="J12" s="13"/>
      <c r="K12" s="5"/>
      <c r="L12" s="5">
        <f>+D12-H12</f>
        <v>3993</v>
      </c>
      <c r="M12" s="5"/>
      <c r="N12" s="13">
        <f>IF(H12=0,0,L12/H12)</f>
        <v>0.11612621782754108</v>
      </c>
      <c r="O12" s="11"/>
      <c r="P12" s="5">
        <f>SUM(OSRRefP13x_0)</f>
        <v>437850</v>
      </c>
      <c r="Q12" s="5"/>
      <c r="R12" s="13"/>
      <c r="S12" s="5"/>
      <c r="T12" s="5">
        <f>SUM(OSRRefT13x_0)</f>
        <v>559288</v>
      </c>
      <c r="U12" s="5"/>
      <c r="V12" s="13"/>
      <c r="W12" s="5"/>
      <c r="X12" s="5">
        <f>+P12-T12</f>
        <v>-121438</v>
      </c>
      <c r="Y12" s="5"/>
      <c r="Z12" s="13">
        <f>IF(T12=0,0,X12/T12)</f>
        <v>-0.21712963625180587</v>
      </c>
    </row>
    <row r="13" spans="1:26" s="70" customFormat="1" ht="15" hidden="1" customHeight="1" outlineLevel="1" x14ac:dyDescent="0.25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--38378</f>
        <v>38378</v>
      </c>
      <c r="E13" s="3"/>
      <c r="F13" s="20"/>
      <c r="G13" s="3"/>
      <c r="H13" s="3">
        <v>34385</v>
      </c>
      <c r="I13" s="3"/>
      <c r="J13" s="20"/>
      <c r="K13" s="3"/>
      <c r="L13" s="3">
        <f>+D13-H13</f>
        <v>3993</v>
      </c>
      <c r="M13" s="3"/>
      <c r="N13" s="20">
        <f>IF(H13=0,0,L13/H13)</f>
        <v>0.11612621782754108</v>
      </c>
      <c r="O13" s="12"/>
      <c r="P13" s="3">
        <f>--437850</f>
        <v>437850</v>
      </c>
      <c r="Q13" s="3"/>
      <c r="R13" s="20"/>
      <c r="S13" s="3"/>
      <c r="T13" s="3">
        <v>559288</v>
      </c>
      <c r="U13" s="3"/>
      <c r="V13" s="20"/>
      <c r="W13" s="3"/>
      <c r="X13" s="3">
        <f>+P13-T13</f>
        <v>-121438</v>
      </c>
      <c r="Y13" s="3"/>
      <c r="Z13" s="20">
        <f>IF(T13=0,0,X13/T13)</f>
        <v>-0.21712963625180587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25">
      <c r="A15" s="11"/>
      <c r="B15" s="27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25">
      <c r="A17" s="11"/>
      <c r="B17" s="28" t="s">
        <v>289</v>
      </c>
      <c r="C17" s="28"/>
      <c r="D17" s="22">
        <f>D12-D15</f>
        <v>38378</v>
      </c>
      <c r="E17" s="15"/>
      <c r="F17" s="21">
        <f>IF(D$12=0,0,D17/D$12)</f>
        <v>1</v>
      </c>
      <c r="G17" s="15"/>
      <c r="H17" s="22">
        <f>H12-H15</f>
        <v>34385</v>
      </c>
      <c r="I17" s="15"/>
      <c r="J17" s="21">
        <f>IF(H$12=0,0,H17/H$12)</f>
        <v>1</v>
      </c>
      <c r="K17" s="16"/>
      <c r="L17" s="22">
        <f>+D17-H17</f>
        <v>3993</v>
      </c>
      <c r="M17" s="16"/>
      <c r="N17" s="21">
        <f>IF(H17=0,0,L17/H17)</f>
        <v>0.11612621782754108</v>
      </c>
      <c r="O17" s="27"/>
      <c r="P17" s="22">
        <f>P12-P15</f>
        <v>437850</v>
      </c>
      <c r="Q17" s="15"/>
      <c r="R17" s="21">
        <f>IF(P$12=0,0,P17/P$12)</f>
        <v>1</v>
      </c>
      <c r="S17" s="15"/>
      <c r="T17" s="22">
        <f>T12-T15</f>
        <v>559288</v>
      </c>
      <c r="U17" s="15"/>
      <c r="V17" s="21">
        <f>IF(T$12=0,0,T17/T$12)</f>
        <v>1</v>
      </c>
      <c r="W17" s="16"/>
      <c r="X17" s="22">
        <f>+P17-T17</f>
        <v>-121438</v>
      </c>
      <c r="Y17" s="16"/>
      <c r="Z17" s="21">
        <f>IF(T17=0,0,X17/T17)</f>
        <v>-0.21712963625180587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25">
      <c r="A19" s="11"/>
      <c r="B19" s="27" t="s">
        <v>290</v>
      </c>
      <c r="C19" s="11"/>
      <c r="D19" s="23" cm="1">
        <f t="array" ref="D19">SUM(OSRRefD22x_0)</f>
        <v>39160.420000000013</v>
      </c>
      <c r="E19" s="23"/>
      <c r="F19" s="31">
        <f t="shared" ref="F19:F50" si="0">IF(D$12=0,0,D19/D$12)</f>
        <v>1.0203872010005737</v>
      </c>
      <c r="G19" s="23"/>
      <c r="H19" s="23" cm="1">
        <f t="array" ref="H19">SUM(OSRRefH22x_0)</f>
        <v>33270.35652917769</v>
      </c>
      <c r="I19" s="23"/>
      <c r="J19" s="31">
        <f t="shared" ref="J19:J50" si="1">IF(H$12=0,0,H19/H$12)</f>
        <v>0.96758343839399996</v>
      </c>
      <c r="K19" s="5"/>
      <c r="L19" s="23">
        <f t="shared" ref="L19:L50" si="2">+D19-H19</f>
        <v>5890.0634708223224</v>
      </c>
      <c r="M19" s="5"/>
      <c r="N19" s="31">
        <f t="shared" ref="N19:N50" si="3">IF(H19=0,0,L19/H19)</f>
        <v>0.1770363796870289</v>
      </c>
      <c r="O19" s="11"/>
      <c r="P19" s="23" cm="1">
        <f t="array" ref="P19">SUM(OSRRefP22x_0)</f>
        <v>405165.02999999997</v>
      </c>
      <c r="Q19" s="23"/>
      <c r="R19" s="31">
        <f t="shared" ref="R19:R50" si="4">IF(P$12=0,0,P19/P$12)</f>
        <v>0.92535121616992111</v>
      </c>
      <c r="S19" s="23"/>
      <c r="T19" s="23" cm="1">
        <f t="array" ref="T19">SUM(OSRRefT22x_0)</f>
        <v>528526.46906513232</v>
      </c>
      <c r="U19" s="23"/>
      <c r="V19" s="31">
        <f t="shared" ref="V19:V50" si="5">IF(T$12=0,0,T19/T$12)</f>
        <v>0.94499876461703514</v>
      </c>
      <c r="W19" s="5"/>
      <c r="X19" s="23">
        <f t="shared" ref="X19:X50" si="6">+P19-T19</f>
        <v>-123361.43906513235</v>
      </c>
      <c r="Y19" s="5"/>
      <c r="Z19" s="31">
        <f t="shared" ref="Z19:Z50" si="7">IF(T19=0,0,X19/T19)</f>
        <v>-0.23340635954020697</v>
      </c>
    </row>
    <row r="20" spans="1:26" s="69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4496.6900000000005</v>
      </c>
      <c r="E20" s="2"/>
      <c r="F20" s="6">
        <f t="shared" si="0"/>
        <v>0.11716842982958989</v>
      </c>
      <c r="G20" s="2"/>
      <c r="H20" s="2">
        <f>SUM(OSRRefH22_0x_0)</f>
        <v>3294.3182868699996</v>
      </c>
      <c r="I20" s="2"/>
      <c r="J20" s="6">
        <f t="shared" si="1"/>
        <v>9.5806842718336477E-2</v>
      </c>
      <c r="K20" s="2"/>
      <c r="L20" s="2">
        <f t="shared" si="2"/>
        <v>1202.3717131300009</v>
      </c>
      <c r="M20" s="2"/>
      <c r="N20" s="6">
        <f t="shared" si="3"/>
        <v>0.36498346802803905</v>
      </c>
      <c r="O20" s="14"/>
      <c r="P20" s="2">
        <f>SUM(OSRRefP22_0x_0)</f>
        <v>46839.65</v>
      </c>
      <c r="Q20" s="2"/>
      <c r="R20" s="6">
        <f t="shared" si="4"/>
        <v>0.10697647596208748</v>
      </c>
      <c r="S20" s="2"/>
      <c r="T20" s="2">
        <f>SUM(OSRRefT22_0x_0)</f>
        <v>40939.010157440003</v>
      </c>
      <c r="U20" s="2"/>
      <c r="V20" s="6">
        <f t="shared" si="5"/>
        <v>7.3198441871522371E-2</v>
      </c>
      <c r="W20" s="2"/>
      <c r="X20" s="2">
        <f t="shared" si="6"/>
        <v>5900.6398425599982</v>
      </c>
      <c r="Y20" s="2"/>
      <c r="Z20" s="6">
        <f t="shared" si="7"/>
        <v>0.14413245019524862</v>
      </c>
    </row>
    <row r="21" spans="1:26" s="70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8">
        <v>1114.3</v>
      </c>
      <c r="E21" s="3"/>
      <c r="F21" s="7">
        <f t="shared" si="0"/>
        <v>2.9034863724008545E-2</v>
      </c>
      <c r="G21" s="3"/>
      <c r="H21" s="8">
        <v>673.19318387769204</v>
      </c>
      <c r="I21" s="3"/>
      <c r="J21" s="7">
        <f t="shared" si="1"/>
        <v>1.957810626371069E-2</v>
      </c>
      <c r="K21" s="3"/>
      <c r="L21" s="8">
        <f t="shared" si="2"/>
        <v>441.10681612230792</v>
      </c>
      <c r="M21" s="3"/>
      <c r="N21" s="7">
        <f t="shared" si="3"/>
        <v>0.65524551746271043</v>
      </c>
      <c r="O21" s="12"/>
      <c r="P21" s="8">
        <v>11636.86</v>
      </c>
      <c r="Q21" s="3"/>
      <c r="R21" s="7">
        <f t="shared" si="4"/>
        <v>2.6577275322599066E-2</v>
      </c>
      <c r="S21" s="3"/>
      <c r="T21" s="8">
        <v>10027.1929215323</v>
      </c>
      <c r="U21" s="3"/>
      <c r="V21" s="7">
        <f t="shared" si="5"/>
        <v>1.7928496448220414E-2</v>
      </c>
      <c r="W21" s="3"/>
      <c r="X21" s="8">
        <f t="shared" si="6"/>
        <v>1609.6670784677008</v>
      </c>
      <c r="Y21" s="3"/>
      <c r="Z21" s="7">
        <f t="shared" si="7"/>
        <v>0.16053017938959935</v>
      </c>
    </row>
    <row r="22" spans="1:26" s="70" customFormat="1" ht="15" hidden="1" customHeight="1" outlineLevel="2" x14ac:dyDescent="0.25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331.06</v>
      </c>
      <c r="E22" s="3"/>
      <c r="F22" s="7">
        <f t="shared" si="0"/>
        <v>8.6262963155974773E-3</v>
      </c>
      <c r="G22" s="3"/>
      <c r="H22" s="8">
        <v>290.2607964</v>
      </c>
      <c r="I22" s="3"/>
      <c r="J22" s="7">
        <f t="shared" si="1"/>
        <v>8.4414947331685336E-3</v>
      </c>
      <c r="K22" s="3"/>
      <c r="L22" s="8">
        <f t="shared" si="2"/>
        <v>40.799203599999998</v>
      </c>
      <c r="M22" s="3"/>
      <c r="N22" s="7">
        <f t="shared" si="3"/>
        <v>0.14056050319580807</v>
      </c>
      <c r="O22" s="12"/>
      <c r="P22" s="8">
        <v>2029.38</v>
      </c>
      <c r="Q22" s="3"/>
      <c r="R22" s="7">
        <f t="shared" si="4"/>
        <v>4.634874957177116E-3</v>
      </c>
      <c r="S22" s="3"/>
      <c r="T22" s="8">
        <v>3640.3775568000001</v>
      </c>
      <c r="U22" s="3"/>
      <c r="V22" s="7">
        <f t="shared" si="5"/>
        <v>6.5089498734104793E-3</v>
      </c>
      <c r="W22" s="3"/>
      <c r="X22" s="8">
        <f t="shared" si="6"/>
        <v>-1610.9975568</v>
      </c>
      <c r="Y22" s="3"/>
      <c r="Z22" s="7">
        <f t="shared" si="7"/>
        <v>-0.44253584461061085</v>
      </c>
    </row>
    <row r="23" spans="1:26" s="70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8">
        <v>991.22</v>
      </c>
      <c r="E23" s="3"/>
      <c r="F23" s="7">
        <f t="shared" si="0"/>
        <v>2.582781802074105E-2</v>
      </c>
      <c r="G23" s="3"/>
      <c r="H23" s="8">
        <v>1022.5</v>
      </c>
      <c r="I23" s="3"/>
      <c r="J23" s="7">
        <f t="shared" si="1"/>
        <v>2.9736803838883233E-2</v>
      </c>
      <c r="K23" s="3"/>
      <c r="L23" s="8">
        <f t="shared" si="2"/>
        <v>-31.279999999999973</v>
      </c>
      <c r="M23" s="3"/>
      <c r="N23" s="7">
        <f t="shared" si="3"/>
        <v>-3.0591687041564765E-2</v>
      </c>
      <c r="O23" s="12"/>
      <c r="P23" s="8">
        <v>11176.12</v>
      </c>
      <c r="Q23" s="3"/>
      <c r="R23" s="7">
        <f t="shared" si="4"/>
        <v>2.5524997145141032E-2</v>
      </c>
      <c r="S23" s="3"/>
      <c r="T23" s="8">
        <v>11247.5</v>
      </c>
      <c r="U23" s="3"/>
      <c r="V23" s="7">
        <f t="shared" si="5"/>
        <v>2.0110390353449387E-2</v>
      </c>
      <c r="W23" s="3"/>
      <c r="X23" s="8">
        <f t="shared" si="6"/>
        <v>-71.3799999999992</v>
      </c>
      <c r="Y23" s="3"/>
      <c r="Z23" s="7">
        <f t="shared" si="7"/>
        <v>-6.3462991775949497E-3</v>
      </c>
    </row>
    <row r="24" spans="1:26" s="70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65.77</v>
      </c>
      <c r="E24" s="3"/>
      <c r="F24" s="7">
        <f t="shared" si="0"/>
        <v>1.71374224816301E-3</v>
      </c>
      <c r="G24" s="3"/>
      <c r="H24" s="8">
        <v>39.073568746153903</v>
      </c>
      <c r="I24" s="3"/>
      <c r="J24" s="7">
        <f t="shared" si="1"/>
        <v>1.1363550602342272E-3</v>
      </c>
      <c r="K24" s="3"/>
      <c r="L24" s="8">
        <f t="shared" si="2"/>
        <v>26.696431253846093</v>
      </c>
      <c r="M24" s="3"/>
      <c r="N24" s="7">
        <f t="shared" si="3"/>
        <v>0.68323503868516955</v>
      </c>
      <c r="O24" s="12"/>
      <c r="P24" s="8">
        <v>401.17</v>
      </c>
      <c r="Q24" s="3"/>
      <c r="R24" s="7">
        <f t="shared" si="4"/>
        <v>9.1622701838529181E-4</v>
      </c>
      <c r="S24" s="3"/>
      <c r="T24" s="8">
        <v>490.05082495384602</v>
      </c>
      <c r="U24" s="3"/>
      <c r="V24" s="7">
        <f t="shared" si="5"/>
        <v>8.7620479065141045E-4</v>
      </c>
      <c r="W24" s="3"/>
      <c r="X24" s="8">
        <f t="shared" si="6"/>
        <v>-88.880824953846002</v>
      </c>
      <c r="Y24" s="3"/>
      <c r="Z24" s="7">
        <f t="shared" si="7"/>
        <v>-0.18137062612274346</v>
      </c>
    </row>
    <row r="25" spans="1:26" s="70" customFormat="1" ht="15" hidden="1" customHeight="1" outlineLevel="2" x14ac:dyDescent="0.25">
      <c r="A25" s="25"/>
      <c r="B25" s="12" t="str">
        <f>CONCATENATE("          ","6115"," - ","P.E.R.S.")</f>
        <v xml:space="preserve">          6115 - P.E.R.S.</v>
      </c>
      <c r="C25" s="12"/>
      <c r="D25" s="8">
        <v>554.66</v>
      </c>
      <c r="E25" s="3"/>
      <c r="F25" s="7">
        <f t="shared" si="0"/>
        <v>1.4452550940643075E-2</v>
      </c>
      <c r="G25" s="3"/>
      <c r="H25" s="8">
        <v>576.92767246153903</v>
      </c>
      <c r="I25" s="3"/>
      <c r="J25" s="7">
        <f t="shared" si="1"/>
        <v>1.6778469462310281E-2</v>
      </c>
      <c r="K25" s="3"/>
      <c r="L25" s="8">
        <f t="shared" si="2"/>
        <v>-22.267672461539064</v>
      </c>
      <c r="M25" s="3"/>
      <c r="N25" s="7">
        <f t="shared" si="3"/>
        <v>-3.8596991485138968E-2</v>
      </c>
      <c r="O25" s="12"/>
      <c r="P25" s="8">
        <v>7200.27</v>
      </c>
      <c r="Q25" s="3"/>
      <c r="R25" s="7">
        <f t="shared" si="4"/>
        <v>1.6444604316546763E-2</v>
      </c>
      <c r="S25" s="3"/>
      <c r="T25" s="8">
        <v>6923.1320695384702</v>
      </c>
      <c r="U25" s="3"/>
      <c r="V25" s="7">
        <f t="shared" si="5"/>
        <v>1.237847418421005E-2</v>
      </c>
      <c r="W25" s="3"/>
      <c r="X25" s="8">
        <f t="shared" si="6"/>
        <v>277.13793046153023</v>
      </c>
      <c r="Y25" s="3"/>
      <c r="Z25" s="7">
        <f t="shared" si="7"/>
        <v>4.0030715531331126E-2</v>
      </c>
    </row>
    <row r="26" spans="1:26" s="70" customFormat="1" ht="15" hidden="1" customHeight="1" outlineLevel="2" x14ac:dyDescent="0.25">
      <c r="A26" s="25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","6117"," - ","RETIREMENT STAFF HOURLY")</f>
        <v xml:space="preserve">          6117 - RETIREMENT STAFF HOURLY</v>
      </c>
      <c r="C27" s="12"/>
      <c r="D27" s="8">
        <v>120</v>
      </c>
      <c r="E27" s="3"/>
      <c r="F27" s="7">
        <f t="shared" si="0"/>
        <v>3.1267913909010371E-3</v>
      </c>
      <c r="G27" s="3"/>
      <c r="H27" s="8"/>
      <c r="I27" s="3"/>
      <c r="J27" s="7">
        <f t="shared" si="1"/>
        <v>0</v>
      </c>
      <c r="K27" s="3"/>
      <c r="L27" s="8">
        <f t="shared" si="2"/>
        <v>120</v>
      </c>
      <c r="M27" s="3"/>
      <c r="N27" s="7">
        <f t="shared" si="3"/>
        <v>0</v>
      </c>
      <c r="O27" s="12"/>
      <c r="P27" s="8">
        <v>395.15</v>
      </c>
      <c r="Q27" s="3"/>
      <c r="R27" s="7">
        <f t="shared" si="4"/>
        <v>9.0247801758593115E-4</v>
      </c>
      <c r="S27" s="3"/>
      <c r="T27" s="8"/>
      <c r="U27" s="3"/>
      <c r="V27" s="7">
        <f t="shared" si="5"/>
        <v>0</v>
      </c>
      <c r="W27" s="3"/>
      <c r="X27" s="8">
        <f t="shared" si="6"/>
        <v>395.15</v>
      </c>
      <c r="Y27" s="3"/>
      <c r="Z27" s="7">
        <f t="shared" si="7"/>
        <v>0</v>
      </c>
    </row>
    <row r="28" spans="1:26" s="70" customFormat="1" ht="15" hidden="1" customHeight="1" outlineLevel="2" x14ac:dyDescent="0.25">
      <c r="A28" s="25"/>
      <c r="B28" s="12" t="str">
        <f>CONCATENATE("          ","6118"," - ","VACATION")</f>
        <v xml:space="preserve">          6118 - VACATION</v>
      </c>
      <c r="C28" s="12"/>
      <c r="D28" s="8">
        <v>608.20000000000005</v>
      </c>
      <c r="E28" s="3"/>
      <c r="F28" s="7">
        <f t="shared" si="0"/>
        <v>1.5847621032883424E-2</v>
      </c>
      <c r="G28" s="3"/>
      <c r="H28" s="8">
        <v>201.25383923076899</v>
      </c>
      <c r="I28" s="3"/>
      <c r="J28" s="7">
        <f t="shared" si="1"/>
        <v>5.8529544635965974E-3</v>
      </c>
      <c r="K28" s="3"/>
      <c r="L28" s="8">
        <f t="shared" si="2"/>
        <v>406.94616076923103</v>
      </c>
      <c r="M28" s="3"/>
      <c r="N28" s="7">
        <f t="shared" si="3"/>
        <v>2.0220541497476905</v>
      </c>
      <c r="O28" s="12"/>
      <c r="P28" s="8">
        <v>7435.05</v>
      </c>
      <c r="Q28" s="3"/>
      <c r="R28" s="7">
        <f t="shared" si="4"/>
        <v>1.6980815347721823E-2</v>
      </c>
      <c r="S28" s="3"/>
      <c r="T28" s="8">
        <v>2415.04607076923</v>
      </c>
      <c r="U28" s="3"/>
      <c r="V28" s="7">
        <f t="shared" si="5"/>
        <v>4.3180723898407084E-3</v>
      </c>
      <c r="W28" s="3"/>
      <c r="X28" s="8">
        <f t="shared" si="6"/>
        <v>5020.0039292307702</v>
      </c>
      <c r="Y28" s="3"/>
      <c r="Z28" s="7">
        <f t="shared" si="7"/>
        <v>2.0786369212541853</v>
      </c>
    </row>
    <row r="29" spans="1:26" s="70" customFormat="1" ht="15" hidden="1" customHeight="1" outlineLevel="2" x14ac:dyDescent="0.25">
      <c r="A29" s="25"/>
      <c r="B29" s="12" t="str">
        <f>CONCATENATE("          ","6119"," - ","SICK LEAVE")</f>
        <v xml:space="preserve">          6119 - SICK LEAVE</v>
      </c>
      <c r="C29" s="12"/>
      <c r="D29" s="8">
        <v>443.63</v>
      </c>
      <c r="E29" s="3"/>
      <c r="F29" s="7">
        <f t="shared" si="0"/>
        <v>1.1559487206211892E-2</v>
      </c>
      <c r="G29" s="3"/>
      <c r="H29" s="8">
        <v>491.10922615384601</v>
      </c>
      <c r="I29" s="3"/>
      <c r="J29" s="7">
        <f t="shared" si="1"/>
        <v>1.4282658896432921E-2</v>
      </c>
      <c r="K29" s="3"/>
      <c r="L29" s="8">
        <f t="shared" si="2"/>
        <v>-47.479226153846014</v>
      </c>
      <c r="M29" s="3"/>
      <c r="N29" s="7">
        <f t="shared" si="3"/>
        <v>-9.6677528389524828E-2</v>
      </c>
      <c r="O29" s="12"/>
      <c r="P29" s="8">
        <v>5531.01</v>
      </c>
      <c r="Q29" s="3"/>
      <c r="R29" s="7">
        <f t="shared" si="4"/>
        <v>1.2632202809181228E-2</v>
      </c>
      <c r="S29" s="3"/>
      <c r="T29" s="8">
        <v>6195.7107138461497</v>
      </c>
      <c r="U29" s="3"/>
      <c r="V29" s="7">
        <f t="shared" si="5"/>
        <v>1.1077853831739908E-2</v>
      </c>
      <c r="W29" s="3"/>
      <c r="X29" s="8">
        <f t="shared" si="6"/>
        <v>-664.70071384614948</v>
      </c>
      <c r="Y29" s="3"/>
      <c r="Z29" s="7">
        <f t="shared" si="7"/>
        <v>-0.10728401381954115</v>
      </c>
    </row>
    <row r="30" spans="1:26" s="70" customFormat="1" ht="15" hidden="1" customHeight="1" outlineLevel="2" x14ac:dyDescent="0.25">
      <c r="A30" s="25"/>
      <c r="B30" s="12" t="str">
        <f>CONCATENATE("          ","6156"," - ","EMPLOYEE MEALS")</f>
        <v xml:space="preserve">          6156 - EMPLOYEE MEALS</v>
      </c>
      <c r="C30" s="12"/>
      <c r="D30" s="8">
        <v>267.85000000000002</v>
      </c>
      <c r="E30" s="3"/>
      <c r="F30" s="7">
        <f t="shared" si="0"/>
        <v>6.979258950440357E-3</v>
      </c>
      <c r="G30" s="3"/>
      <c r="H30" s="8"/>
      <c r="I30" s="3"/>
      <c r="J30" s="7">
        <f t="shared" si="1"/>
        <v>0</v>
      </c>
      <c r="K30" s="3"/>
      <c r="L30" s="8">
        <f t="shared" si="2"/>
        <v>267.85000000000002</v>
      </c>
      <c r="M30" s="3"/>
      <c r="N30" s="7">
        <f t="shared" si="3"/>
        <v>0</v>
      </c>
      <c r="O30" s="12"/>
      <c r="P30" s="8">
        <v>1034.6400000000001</v>
      </c>
      <c r="Q30" s="3"/>
      <c r="R30" s="7">
        <f t="shared" si="4"/>
        <v>2.3630010277492296E-3</v>
      </c>
      <c r="S30" s="3"/>
      <c r="T30" s="8"/>
      <c r="U30" s="3"/>
      <c r="V30" s="7">
        <f t="shared" si="5"/>
        <v>0</v>
      </c>
      <c r="W30" s="3"/>
      <c r="X30" s="8">
        <f t="shared" si="6"/>
        <v>1034.6400000000001</v>
      </c>
      <c r="Y30" s="3"/>
      <c r="Z30" s="7">
        <f t="shared" si="7"/>
        <v>0</v>
      </c>
    </row>
    <row r="31" spans="1:26" s="69" customFormat="1" ht="15" customHeight="1" outlineLevel="1" collapsed="1" x14ac:dyDescent="0.25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15761.880000000001</v>
      </c>
      <c r="E31" s="2"/>
      <c r="F31" s="6">
        <f t="shared" si="0"/>
        <v>0.41070092240346034</v>
      </c>
      <c r="G31" s="2"/>
      <c r="H31" s="2">
        <f>SUM(OSRRefH22_1x_0)</f>
        <v>18271.038242307688</v>
      </c>
      <c r="I31" s="2"/>
      <c r="J31" s="6">
        <f t="shared" si="1"/>
        <v>0.53136653314839866</v>
      </c>
      <c r="K31" s="2"/>
      <c r="L31" s="2">
        <f t="shared" si="2"/>
        <v>-2509.158242307687</v>
      </c>
      <c r="M31" s="2"/>
      <c r="N31" s="6">
        <f t="shared" si="3"/>
        <v>-0.13732981175079478</v>
      </c>
      <c r="O31" s="14"/>
      <c r="P31" s="2">
        <f>SUM(OSRRefP22_1x_0)</f>
        <v>163584.11000000002</v>
      </c>
      <c r="Q31" s="2"/>
      <c r="R31" s="6">
        <f t="shared" si="4"/>
        <v>0.37360765102203952</v>
      </c>
      <c r="S31" s="2"/>
      <c r="T31" s="2">
        <f>SUM(OSRRefT22_1x_0)</f>
        <v>229332.45890769229</v>
      </c>
      <c r="U31" s="2"/>
      <c r="V31" s="6">
        <f t="shared" si="5"/>
        <v>0.41004358918427053</v>
      </c>
      <c r="W31" s="2"/>
      <c r="X31" s="2">
        <f t="shared" si="6"/>
        <v>-65748.348907692271</v>
      </c>
      <c r="Y31" s="2"/>
      <c r="Z31" s="6">
        <f t="shared" si="7"/>
        <v>-0.28669447500301903</v>
      </c>
    </row>
    <row r="32" spans="1:26" s="70" customFormat="1" ht="15" hidden="1" customHeight="1" outlineLevel="2" x14ac:dyDescent="0.25">
      <c r="A32" s="25"/>
      <c r="B32" s="12" t="str">
        <f>CONCATENATE("          ","6001"," - ","ADMINISTRATIVE SALARIES")</f>
        <v xml:space="preserve">          6001 - ADMINISTRATIVE SALARIES</v>
      </c>
      <c r="C32" s="12"/>
      <c r="D32" s="8">
        <v>3726.61</v>
      </c>
      <c r="E32" s="3"/>
      <c r="F32" s="7">
        <f t="shared" si="0"/>
        <v>9.7102767210380955E-2</v>
      </c>
      <c r="G32" s="3"/>
      <c r="H32" s="8">
        <v>4139.8076923076896</v>
      </c>
      <c r="I32" s="3"/>
      <c r="J32" s="7">
        <f t="shared" si="1"/>
        <v>0.1203957450140378</v>
      </c>
      <c r="K32" s="3"/>
      <c r="L32" s="8">
        <f t="shared" si="2"/>
        <v>-413.19769230768952</v>
      </c>
      <c r="M32" s="3"/>
      <c r="N32" s="7">
        <f t="shared" si="3"/>
        <v>-9.9810842198169131E-2</v>
      </c>
      <c r="O32" s="12"/>
      <c r="P32" s="8">
        <v>51393.19</v>
      </c>
      <c r="Q32" s="3"/>
      <c r="R32" s="7">
        <f t="shared" si="4"/>
        <v>0.11737624757336988</v>
      </c>
      <c r="S32" s="3"/>
      <c r="T32" s="8">
        <v>49677.692307692298</v>
      </c>
      <c r="U32" s="3"/>
      <c r="V32" s="7">
        <f t="shared" si="5"/>
        <v>8.8823097058567849E-2</v>
      </c>
      <c r="W32" s="3"/>
      <c r="X32" s="8">
        <f t="shared" si="6"/>
        <v>1715.4976923077047</v>
      </c>
      <c r="Y32" s="3"/>
      <c r="Z32" s="7">
        <f t="shared" si="7"/>
        <v>3.4532556014927246E-2</v>
      </c>
    </row>
    <row r="33" spans="1:26" s="70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8">
        <v>1632</v>
      </c>
      <c r="E33" s="3"/>
      <c r="F33" s="7">
        <f t="shared" si="0"/>
        <v>4.2524362916254103E-2</v>
      </c>
      <c r="G33" s="3"/>
      <c r="H33" s="8">
        <v>2233.2305500000002</v>
      </c>
      <c r="I33" s="3"/>
      <c r="J33" s="7">
        <f t="shared" si="1"/>
        <v>6.4947812999854596E-2</v>
      </c>
      <c r="K33" s="3"/>
      <c r="L33" s="8">
        <f t="shared" si="2"/>
        <v>-601.23055000000022</v>
      </c>
      <c r="M33" s="3"/>
      <c r="N33" s="7">
        <f t="shared" si="3"/>
        <v>-0.26922009910709854</v>
      </c>
      <c r="O33" s="12"/>
      <c r="P33" s="8">
        <v>20256.57</v>
      </c>
      <c r="Q33" s="3"/>
      <c r="R33" s="7">
        <f t="shared" si="4"/>
        <v>4.626372045220966E-2</v>
      </c>
      <c r="S33" s="3"/>
      <c r="T33" s="8">
        <v>26798.766599999999</v>
      </c>
      <c r="U33" s="3"/>
      <c r="V33" s="7">
        <f t="shared" si="5"/>
        <v>4.7915861953054598E-2</v>
      </c>
      <c r="W33" s="3"/>
      <c r="X33" s="8">
        <f t="shared" si="6"/>
        <v>-6542.1965999999993</v>
      </c>
      <c r="Y33" s="3"/>
      <c r="Z33" s="7">
        <f t="shared" si="7"/>
        <v>-0.24412304855851089</v>
      </c>
    </row>
    <row r="34" spans="1:26" s="70" customFormat="1" ht="15" hidden="1" customHeight="1" outlineLevel="2" x14ac:dyDescent="0.25">
      <c r="A34" s="25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","6004"," - ","STAFF HOURLY")</f>
        <v xml:space="preserve">          6004 - STAFF HOURLY</v>
      </c>
      <c r="C35" s="12"/>
      <c r="D35" s="8">
        <v>3380.1</v>
      </c>
      <c r="E35" s="3"/>
      <c r="F35" s="7">
        <f t="shared" si="0"/>
        <v>8.8073896503204963E-2</v>
      </c>
      <c r="G35" s="3"/>
      <c r="H35" s="8">
        <v>2088</v>
      </c>
      <c r="I35" s="3"/>
      <c r="J35" s="7">
        <f t="shared" si="1"/>
        <v>6.0724152973680383E-2</v>
      </c>
      <c r="K35" s="3"/>
      <c r="L35" s="8">
        <f t="shared" si="2"/>
        <v>1292.0999999999999</v>
      </c>
      <c r="M35" s="3"/>
      <c r="N35" s="7">
        <f t="shared" si="3"/>
        <v>0.61882183908045973</v>
      </c>
      <c r="O35" s="12"/>
      <c r="P35" s="8">
        <v>16702.32</v>
      </c>
      <c r="Q35" s="3"/>
      <c r="R35" s="7">
        <f t="shared" si="4"/>
        <v>3.814621445700582E-2</v>
      </c>
      <c r="S35" s="3"/>
      <c r="T35" s="8">
        <v>24534</v>
      </c>
      <c r="U35" s="3"/>
      <c r="V35" s="7">
        <f t="shared" si="5"/>
        <v>4.3866487391111555E-2</v>
      </c>
      <c r="W35" s="3"/>
      <c r="X35" s="8">
        <f t="shared" si="6"/>
        <v>-7831.68</v>
      </c>
      <c r="Y35" s="3"/>
      <c r="Z35" s="7">
        <f t="shared" si="7"/>
        <v>-0.31921741257031061</v>
      </c>
    </row>
    <row r="36" spans="1:26" s="70" customFormat="1" ht="15" hidden="1" customHeight="1" outlineLevel="2" x14ac:dyDescent="0.25">
      <c r="A36" s="25"/>
      <c r="B36" s="12" t="str">
        <f>CONCATENATE("          ","6005"," - ","TEMPORARY WAGES-HOURLY")</f>
        <v xml:space="preserve">          6005 - TEMPORARY WAGES-HOURLY</v>
      </c>
      <c r="C36" s="12"/>
      <c r="D36" s="8">
        <v>2993.94</v>
      </c>
      <c r="E36" s="3"/>
      <c r="F36" s="7">
        <f t="shared" si="0"/>
        <v>7.8011881807285424E-2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2993.94</v>
      </c>
      <c r="M36" s="3"/>
      <c r="N36" s="7">
        <f t="shared" si="3"/>
        <v>0</v>
      </c>
      <c r="O36" s="12"/>
      <c r="P36" s="8">
        <v>56889.5</v>
      </c>
      <c r="Q36" s="3"/>
      <c r="R36" s="7">
        <f t="shared" si="4"/>
        <v>0.12992919949754483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56889.5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","6006"," - ","TEMPORARY PART TIME")</f>
        <v xml:space="preserve">          6006 - TEMPORARY PART TIME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","6007"," - ","STUDENT HOURLY")</f>
        <v xml:space="preserve">          6007 - STUDENT HOURLY</v>
      </c>
      <c r="C38" s="12"/>
      <c r="D38" s="8">
        <v>4029.23</v>
      </c>
      <c r="E38" s="3"/>
      <c r="F38" s="7">
        <f t="shared" si="0"/>
        <v>0.10498801396633488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4029.23</v>
      </c>
      <c r="M38" s="3"/>
      <c r="N38" s="7">
        <f t="shared" si="3"/>
        <v>0</v>
      </c>
      <c r="O38" s="12"/>
      <c r="P38" s="8">
        <v>18178.310000000001</v>
      </c>
      <c r="Q38" s="3"/>
      <c r="R38" s="7">
        <f t="shared" si="4"/>
        <v>4.1517209089870964E-2</v>
      </c>
      <c r="S38" s="3"/>
      <c r="T38" s="8">
        <v>25987.5</v>
      </c>
      <c r="U38" s="3"/>
      <c r="V38" s="7">
        <f t="shared" si="5"/>
        <v>4.6465327344766917E-2</v>
      </c>
      <c r="W38" s="3"/>
      <c r="X38" s="8">
        <f t="shared" si="6"/>
        <v>-7809.1899999999987</v>
      </c>
      <c r="Y38" s="3"/>
      <c r="Z38" s="7">
        <f t="shared" si="7"/>
        <v>-0.30049793169793165</v>
      </c>
    </row>
    <row r="39" spans="1:26" s="70" customFormat="1" ht="15" hidden="1" customHeight="1" outlineLevel="2" x14ac:dyDescent="0.25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8"/>
      <c r="E39" s="3"/>
      <c r="F39" s="7">
        <f t="shared" si="0"/>
        <v>0</v>
      </c>
      <c r="G39" s="3"/>
      <c r="H39" s="8">
        <v>9810</v>
      </c>
      <c r="I39" s="3"/>
      <c r="J39" s="7">
        <f t="shared" si="1"/>
        <v>0.28529882216082592</v>
      </c>
      <c r="K39" s="3"/>
      <c r="L39" s="8">
        <f t="shared" si="2"/>
        <v>-9810</v>
      </c>
      <c r="M39" s="3"/>
      <c r="N39" s="7">
        <f t="shared" si="3"/>
        <v>-1</v>
      </c>
      <c r="O39" s="12"/>
      <c r="P39" s="8">
        <v>164.22</v>
      </c>
      <c r="Q39" s="3"/>
      <c r="R39" s="7">
        <f t="shared" si="4"/>
        <v>3.7505995203836932E-4</v>
      </c>
      <c r="S39" s="3"/>
      <c r="T39" s="8">
        <v>102334.5</v>
      </c>
      <c r="U39" s="3"/>
      <c r="V39" s="7">
        <f t="shared" si="5"/>
        <v>0.1829728154367696</v>
      </c>
      <c r="W39" s="3"/>
      <c r="X39" s="8">
        <f t="shared" si="6"/>
        <v>-102170.28</v>
      </c>
      <c r="Y39" s="3"/>
      <c r="Z39" s="7">
        <f t="shared" si="7"/>
        <v>-0.99839526259472611</v>
      </c>
    </row>
    <row r="40" spans="1:26" s="70" customFormat="1" ht="15" hidden="1" customHeight="1" outlineLevel="2" x14ac:dyDescent="0.25">
      <c r="A40" s="25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25">
      <c r="A42" s="26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100</v>
      </c>
      <c r="I42" s="2"/>
      <c r="J42" s="6">
        <f t="shared" si="1"/>
        <v>2.9082448742184094E-3</v>
      </c>
      <c r="K42" s="2"/>
      <c r="L42" s="2">
        <f t="shared" si="2"/>
        <v>-100</v>
      </c>
      <c r="M42" s="2"/>
      <c r="N42" s="6">
        <f t="shared" si="3"/>
        <v>-1</v>
      </c>
      <c r="O42" s="14"/>
      <c r="P42" s="2">
        <f>SUM(OSRRefP22_2x_0)</f>
        <v>251.18</v>
      </c>
      <c r="Q42" s="2"/>
      <c r="R42" s="6">
        <f t="shared" si="4"/>
        <v>5.7366678086102549E-4</v>
      </c>
      <c r="S42" s="2"/>
      <c r="T42" s="2">
        <f>SUM(OSRRefT22_2x_0)</f>
        <v>1100</v>
      </c>
      <c r="U42" s="2"/>
      <c r="V42" s="6">
        <f t="shared" si="5"/>
        <v>1.9667863426356368E-3</v>
      </c>
      <c r="W42" s="2"/>
      <c r="X42" s="2">
        <f t="shared" si="6"/>
        <v>-848.81999999999994</v>
      </c>
      <c r="Y42" s="2"/>
      <c r="Z42" s="6">
        <f t="shared" si="7"/>
        <v>-0.77165454545454537</v>
      </c>
    </row>
    <row r="43" spans="1:26" s="70" customFormat="1" ht="15" hidden="1" customHeight="1" outlineLevel="2" x14ac:dyDescent="0.25">
      <c r="A43" s="25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>
        <v>100</v>
      </c>
      <c r="I43" s="3"/>
      <c r="J43" s="7">
        <f t="shared" si="1"/>
        <v>2.9082448742184094E-3</v>
      </c>
      <c r="K43" s="3"/>
      <c r="L43" s="8">
        <f t="shared" si="2"/>
        <v>-100</v>
      </c>
      <c r="M43" s="3"/>
      <c r="N43" s="7">
        <f t="shared" si="3"/>
        <v>-1</v>
      </c>
      <c r="O43" s="12"/>
      <c r="P43" s="8">
        <v>251.18</v>
      </c>
      <c r="Q43" s="3"/>
      <c r="R43" s="7">
        <f t="shared" si="4"/>
        <v>5.7366678086102549E-4</v>
      </c>
      <c r="S43" s="3"/>
      <c r="T43" s="8">
        <v>1100</v>
      </c>
      <c r="U43" s="3"/>
      <c r="V43" s="7">
        <f t="shared" si="5"/>
        <v>1.9667863426356368E-3</v>
      </c>
      <c r="W43" s="3"/>
      <c r="X43" s="8">
        <f t="shared" si="6"/>
        <v>-848.81999999999994</v>
      </c>
      <c r="Y43" s="3"/>
      <c r="Z43" s="7">
        <f t="shared" si="7"/>
        <v>-0.77165454545454537</v>
      </c>
    </row>
    <row r="44" spans="1:26" s="69" customFormat="1" ht="15" customHeight="1" outlineLevel="1" collapsed="1" x14ac:dyDescent="0.25">
      <c r="A44" s="26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335.24</v>
      </c>
      <c r="E44" s="2"/>
      <c r="F44" s="6">
        <f t="shared" si="0"/>
        <v>8.7352128823805306E-3</v>
      </c>
      <c r="G44" s="2"/>
      <c r="H44" s="2">
        <f>SUM(OSRRefH22_3x_0)</f>
        <v>1250</v>
      </c>
      <c r="I44" s="2"/>
      <c r="J44" s="6">
        <f t="shared" si="1"/>
        <v>3.6353060927730114E-2</v>
      </c>
      <c r="K44" s="2"/>
      <c r="L44" s="2">
        <f t="shared" si="2"/>
        <v>-914.76</v>
      </c>
      <c r="M44" s="2"/>
      <c r="N44" s="6">
        <f t="shared" si="3"/>
        <v>-0.73180800000000001</v>
      </c>
      <c r="O44" s="14"/>
      <c r="P44" s="2">
        <f>SUM(OSRRefP22_3x_0)</f>
        <v>4349.37</v>
      </c>
      <c r="Q44" s="2"/>
      <c r="R44" s="6">
        <f t="shared" si="4"/>
        <v>9.9334703665638919E-3</v>
      </c>
      <c r="S44" s="2"/>
      <c r="T44" s="2">
        <f>SUM(OSRRefT22_3x_0)</f>
        <v>13750</v>
      </c>
      <c r="U44" s="2"/>
      <c r="V44" s="6">
        <f t="shared" si="5"/>
        <v>2.4584829282945458E-2</v>
      </c>
      <c r="W44" s="2"/>
      <c r="X44" s="2">
        <f t="shared" si="6"/>
        <v>-9400.630000000001</v>
      </c>
      <c r="Y44" s="2"/>
      <c r="Z44" s="6">
        <f t="shared" si="7"/>
        <v>-0.68368218181818186</v>
      </c>
    </row>
    <row r="45" spans="1:26" s="70" customFormat="1" ht="15" hidden="1" customHeight="1" outlineLevel="2" x14ac:dyDescent="0.25">
      <c r="A45" s="25"/>
      <c r="B45" s="12" t="str">
        <f>CONCATENATE("          ","6381"," - ","BANK/CREDIT CARD FEES")</f>
        <v xml:space="preserve">          6381 - BANK/CREDIT CARD FEES</v>
      </c>
      <c r="C45" s="12"/>
      <c r="D45" s="8">
        <v>335.24</v>
      </c>
      <c r="E45" s="3"/>
      <c r="F45" s="7">
        <f t="shared" si="0"/>
        <v>8.7352128823805306E-3</v>
      </c>
      <c r="G45" s="3"/>
      <c r="H45" s="8">
        <v>1250</v>
      </c>
      <c r="I45" s="3"/>
      <c r="J45" s="7">
        <f t="shared" si="1"/>
        <v>3.6353060927730114E-2</v>
      </c>
      <c r="K45" s="3"/>
      <c r="L45" s="8">
        <f t="shared" si="2"/>
        <v>-914.76</v>
      </c>
      <c r="M45" s="3"/>
      <c r="N45" s="7">
        <f t="shared" si="3"/>
        <v>-0.73180800000000001</v>
      </c>
      <c r="O45" s="12"/>
      <c r="P45" s="8">
        <v>4349.37</v>
      </c>
      <c r="Q45" s="3"/>
      <c r="R45" s="7">
        <f t="shared" si="4"/>
        <v>9.9334703665638919E-3</v>
      </c>
      <c r="S45" s="3"/>
      <c r="T45" s="8">
        <v>13750</v>
      </c>
      <c r="U45" s="3"/>
      <c r="V45" s="7">
        <f t="shared" si="5"/>
        <v>2.4584829282945458E-2</v>
      </c>
      <c r="W45" s="3"/>
      <c r="X45" s="8">
        <f t="shared" si="6"/>
        <v>-9400.630000000001</v>
      </c>
      <c r="Y45" s="3"/>
      <c r="Z45" s="7">
        <f t="shared" si="7"/>
        <v>-0.68368218181818186</v>
      </c>
    </row>
    <row r="46" spans="1:26" s="69" customFormat="1" ht="15" customHeight="1" outlineLevel="1" collapsed="1" x14ac:dyDescent="0.25">
      <c r="A46" s="26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5.8164897484368184E-4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220</v>
      </c>
      <c r="U46" s="2"/>
      <c r="V46" s="6">
        <f t="shared" si="5"/>
        <v>3.9335726852712734E-4</v>
      </c>
      <c r="W46" s="2"/>
      <c r="X46" s="2">
        <f t="shared" si="6"/>
        <v>-220</v>
      </c>
      <c r="Y46" s="2"/>
      <c r="Z46" s="6">
        <f t="shared" si="7"/>
        <v>-1</v>
      </c>
    </row>
    <row r="47" spans="1:26" s="70" customFormat="1" ht="15" hidden="1" customHeight="1" outlineLevel="2" x14ac:dyDescent="0.25">
      <c r="A47" s="25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>
        <v>20</v>
      </c>
      <c r="I47" s="3"/>
      <c r="J47" s="7">
        <f t="shared" si="1"/>
        <v>5.8164897484368184E-4</v>
      </c>
      <c r="K47" s="3"/>
      <c r="L47" s="8">
        <f t="shared" si="2"/>
        <v>-20</v>
      </c>
      <c r="M47" s="3"/>
      <c r="N47" s="7">
        <f t="shared" si="3"/>
        <v>-1</v>
      </c>
      <c r="O47" s="12"/>
      <c r="P47" s="8"/>
      <c r="Q47" s="3"/>
      <c r="R47" s="7">
        <f t="shared" si="4"/>
        <v>0</v>
      </c>
      <c r="S47" s="3"/>
      <c r="T47" s="8">
        <v>220</v>
      </c>
      <c r="U47" s="3"/>
      <c r="V47" s="7">
        <f t="shared" si="5"/>
        <v>3.9335726852712734E-4</v>
      </c>
      <c r="W47" s="3"/>
      <c r="X47" s="8">
        <f t="shared" si="6"/>
        <v>-220</v>
      </c>
      <c r="Y47" s="3"/>
      <c r="Z47" s="7">
        <f t="shared" si="7"/>
        <v>-1</v>
      </c>
    </row>
    <row r="48" spans="1:26" s="69" customFormat="1" ht="15" customHeight="1" outlineLevel="1" collapsed="1" x14ac:dyDescent="0.25">
      <c r="A48" s="26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2.9082448742184092E-4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1.4160100491035743E-6</v>
      </c>
      <c r="S48" s="2"/>
      <c r="T48" s="2">
        <f>SUM(OSRRefT22_5x_0)</f>
        <v>110</v>
      </c>
      <c r="U48" s="2"/>
      <c r="V48" s="6">
        <f t="shared" si="5"/>
        <v>1.9667863426356367E-4</v>
      </c>
      <c r="W48" s="2"/>
      <c r="X48" s="2">
        <f t="shared" si="6"/>
        <v>-109.38</v>
      </c>
      <c r="Y48" s="2"/>
      <c r="Z48" s="6">
        <f t="shared" si="7"/>
        <v>-0.99436363636363634</v>
      </c>
    </row>
    <row r="49" spans="1:26" s="70" customFormat="1" ht="15" hidden="1" customHeight="1" outlineLevel="2" x14ac:dyDescent="0.25">
      <c r="A49" s="25"/>
      <c r="B49" s="12" t="str">
        <f>CONCATENATE("          ","6305"," - ","FREIGHT OUT")</f>
        <v xml:space="preserve">          6305 - FREIGHT OUT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0.62</v>
      </c>
      <c r="Q49" s="3"/>
      <c r="R49" s="7">
        <f t="shared" si="4"/>
        <v>1.4160100491035743E-6</v>
      </c>
      <c r="S49" s="3"/>
      <c r="T49" s="8"/>
      <c r="U49" s="3"/>
      <c r="V49" s="7">
        <f t="shared" si="5"/>
        <v>0</v>
      </c>
      <c r="W49" s="3"/>
      <c r="X49" s="8">
        <f t="shared" si="6"/>
        <v>0.62</v>
      </c>
      <c r="Y49" s="3"/>
      <c r="Z49" s="7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","6307"," - ","POSTAGE")</f>
        <v xml:space="preserve">          6307 - POSTAGE</v>
      </c>
      <c r="C50" s="12"/>
      <c r="D50" s="8"/>
      <c r="E50" s="3"/>
      <c r="F50" s="7">
        <f t="shared" si="0"/>
        <v>0</v>
      </c>
      <c r="G50" s="3"/>
      <c r="H50" s="8">
        <v>10</v>
      </c>
      <c r="I50" s="3"/>
      <c r="J50" s="7">
        <f t="shared" si="1"/>
        <v>2.9082448742184092E-4</v>
      </c>
      <c r="K50" s="3"/>
      <c r="L50" s="8">
        <f t="shared" si="2"/>
        <v>-10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110</v>
      </c>
      <c r="U50" s="3"/>
      <c r="V50" s="7">
        <f t="shared" si="5"/>
        <v>1.9667863426356367E-4</v>
      </c>
      <c r="W50" s="3"/>
      <c r="X50" s="8">
        <f t="shared" si="6"/>
        <v>-110</v>
      </c>
      <c r="Y50" s="3"/>
      <c r="Z50" s="7">
        <f t="shared" si="7"/>
        <v>-1</v>
      </c>
    </row>
    <row r="51" spans="1:26" s="69" customFormat="1" ht="15" customHeight="1" outlineLevel="1" collapsed="1" x14ac:dyDescent="0.25">
      <c r="A51" s="26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1.4541224371092047E-3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550</v>
      </c>
      <c r="U51" s="2"/>
      <c r="V51" s="6">
        <f t="shared" ref="V51:V70" si="13">IF(T$12=0,0,T51/T$12)</f>
        <v>9.8339317131781838E-4</v>
      </c>
      <c r="W51" s="2"/>
      <c r="X51" s="2">
        <f t="shared" ref="X51:X70" si="14">+P51-T51</f>
        <v>-550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25">
      <c r="A52" s="25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8"/>
        <v>0</v>
      </c>
      <c r="G52" s="3"/>
      <c r="H52" s="8">
        <v>50</v>
      </c>
      <c r="I52" s="3"/>
      <c r="J52" s="7">
        <f t="shared" si="9"/>
        <v>1.4541224371092047E-3</v>
      </c>
      <c r="K52" s="3"/>
      <c r="L52" s="8">
        <f t="shared" si="10"/>
        <v>-50</v>
      </c>
      <c r="M52" s="3"/>
      <c r="N52" s="7">
        <f t="shared" si="11"/>
        <v>-1</v>
      </c>
      <c r="O52" s="12"/>
      <c r="P52" s="8"/>
      <c r="Q52" s="3"/>
      <c r="R52" s="7">
        <f t="shared" si="12"/>
        <v>0</v>
      </c>
      <c r="S52" s="3"/>
      <c r="T52" s="8">
        <v>550</v>
      </c>
      <c r="U52" s="3"/>
      <c r="V52" s="7">
        <f t="shared" si="13"/>
        <v>9.8339317131781838E-4</v>
      </c>
      <c r="W52" s="3"/>
      <c r="X52" s="8">
        <f t="shared" si="14"/>
        <v>-550</v>
      </c>
      <c r="Y52" s="3"/>
      <c r="Z52" s="7">
        <f t="shared" si="15"/>
        <v>-1</v>
      </c>
    </row>
    <row r="53" spans="1:26" s="69" customFormat="1" ht="15" customHeight="1" outlineLevel="1" collapsed="1" x14ac:dyDescent="0.25">
      <c r="A53" s="26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1.0274115378602325E-3</v>
      </c>
      <c r="G53" s="2"/>
      <c r="H53" s="2">
        <f>SUM(OSRRefH22_7x_0)</f>
        <v>40</v>
      </c>
      <c r="I53" s="2"/>
      <c r="J53" s="6">
        <f t="shared" si="9"/>
        <v>1.1632979496873637E-3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433.73</v>
      </c>
      <c r="Q53" s="2"/>
      <c r="R53" s="6">
        <f t="shared" si="12"/>
        <v>9.9059038483498914E-4</v>
      </c>
      <c r="S53" s="2"/>
      <c r="T53" s="2">
        <f>SUM(OSRRefT22_7x_0)</f>
        <v>440</v>
      </c>
      <c r="U53" s="2"/>
      <c r="V53" s="6">
        <f t="shared" si="13"/>
        <v>7.8671453705425468E-4</v>
      </c>
      <c r="W53" s="2"/>
      <c r="X53" s="2">
        <f t="shared" si="14"/>
        <v>-6.2699999999999818</v>
      </c>
      <c r="Y53" s="2"/>
      <c r="Z53" s="6">
        <f t="shared" si="15"/>
        <v>-1.4249999999999959E-2</v>
      </c>
    </row>
    <row r="54" spans="1:26" s="70" customFormat="1" ht="15" hidden="1" customHeight="1" outlineLevel="2" x14ac:dyDescent="0.25">
      <c r="A54" s="25"/>
      <c r="B54" s="12" t="str">
        <f>CONCATENATE("          ","6314"," - ","LIABILITY INSURANCE")</f>
        <v xml:space="preserve">          6314 - LIABILITY INSURANCE</v>
      </c>
      <c r="C54" s="12"/>
      <c r="D54" s="8">
        <v>39.43</v>
      </c>
      <c r="E54" s="3"/>
      <c r="F54" s="7">
        <f t="shared" si="8"/>
        <v>1.0274115378602325E-3</v>
      </c>
      <c r="G54" s="3"/>
      <c r="H54" s="8">
        <v>40</v>
      </c>
      <c r="I54" s="3"/>
      <c r="J54" s="7">
        <f t="shared" si="9"/>
        <v>1.1632979496873637E-3</v>
      </c>
      <c r="K54" s="3"/>
      <c r="L54" s="8">
        <f t="shared" si="10"/>
        <v>-0.57000000000000028</v>
      </c>
      <c r="M54" s="3"/>
      <c r="N54" s="7">
        <f t="shared" si="11"/>
        <v>-1.4250000000000007E-2</v>
      </c>
      <c r="O54" s="12"/>
      <c r="P54" s="8">
        <v>433.73</v>
      </c>
      <c r="Q54" s="3"/>
      <c r="R54" s="7">
        <f t="shared" si="12"/>
        <v>9.9059038483498914E-4</v>
      </c>
      <c r="S54" s="3"/>
      <c r="T54" s="8">
        <v>440</v>
      </c>
      <c r="U54" s="3"/>
      <c r="V54" s="7">
        <f t="shared" si="13"/>
        <v>7.8671453705425468E-4</v>
      </c>
      <c r="W54" s="3"/>
      <c r="X54" s="8">
        <f t="shared" si="14"/>
        <v>-6.2699999999999818</v>
      </c>
      <c r="Y54" s="3"/>
      <c r="Z54" s="7">
        <f t="shared" si="15"/>
        <v>-1.4249999999999959E-2</v>
      </c>
    </row>
    <row r="55" spans="1:26" s="69" customFormat="1" ht="15" customHeight="1" outlineLevel="1" collapsed="1" x14ac:dyDescent="0.25">
      <c r="A55" s="26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2.0845275939340248E-2</v>
      </c>
      <c r="G55" s="2"/>
      <c r="H55" s="2">
        <f>SUM(OSRRefH22_8x_0)</f>
        <v>800</v>
      </c>
      <c r="I55" s="2"/>
      <c r="J55" s="6">
        <f t="shared" si="9"/>
        <v>2.3265958993747275E-2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8800</v>
      </c>
      <c r="Q55" s="2"/>
      <c r="R55" s="6">
        <f t="shared" si="12"/>
        <v>2.009820714856686E-2</v>
      </c>
      <c r="S55" s="2"/>
      <c r="T55" s="2">
        <f>SUM(OSRRefT22_8x_0)</f>
        <v>8800</v>
      </c>
      <c r="U55" s="2"/>
      <c r="V55" s="6">
        <f t="shared" si="13"/>
        <v>1.5734290741085094E-2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25">
      <c r="A56" s="25"/>
      <c r="B56" s="12" t="str">
        <f>CONCATENATE("          ","6273"," - ","RENT")</f>
        <v xml:space="preserve">          6273 - RENT</v>
      </c>
      <c r="C56" s="12"/>
      <c r="D56" s="8">
        <v>800</v>
      </c>
      <c r="E56" s="3"/>
      <c r="F56" s="7">
        <f t="shared" si="8"/>
        <v>2.0845275939340248E-2</v>
      </c>
      <c r="G56" s="3"/>
      <c r="H56" s="8">
        <v>800</v>
      </c>
      <c r="I56" s="3"/>
      <c r="J56" s="7">
        <f t="shared" si="9"/>
        <v>2.3265958993747275E-2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8800</v>
      </c>
      <c r="Q56" s="3"/>
      <c r="R56" s="7">
        <f t="shared" si="12"/>
        <v>2.009820714856686E-2</v>
      </c>
      <c r="S56" s="3"/>
      <c r="T56" s="8">
        <v>8800</v>
      </c>
      <c r="U56" s="3"/>
      <c r="V56" s="7">
        <f t="shared" si="13"/>
        <v>1.5734290741085094E-2</v>
      </c>
      <c r="W56" s="3"/>
      <c r="X56" s="8">
        <f t="shared" si="14"/>
        <v>0</v>
      </c>
      <c r="Y56" s="3"/>
      <c r="Z56" s="7">
        <f t="shared" si="15"/>
        <v>0</v>
      </c>
    </row>
    <row r="57" spans="1:26" s="69" customFormat="1" ht="15" customHeight="1" outlineLevel="1" collapsed="1" x14ac:dyDescent="0.25">
      <c r="A57" s="26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0</v>
      </c>
      <c r="E57" s="2"/>
      <c r="F57" s="6">
        <f t="shared" si="8"/>
        <v>0</v>
      </c>
      <c r="G57" s="2"/>
      <c r="H57" s="2">
        <f>SUM(OSRRefH22_9x_0)</f>
        <v>3200</v>
      </c>
      <c r="I57" s="2"/>
      <c r="J57" s="6">
        <f t="shared" si="9"/>
        <v>9.3063835974989101E-2</v>
      </c>
      <c r="K57" s="2"/>
      <c r="L57" s="2">
        <f t="shared" si="10"/>
        <v>-3200</v>
      </c>
      <c r="M57" s="2"/>
      <c r="N57" s="6">
        <f t="shared" si="11"/>
        <v>-1</v>
      </c>
      <c r="O57" s="14"/>
      <c r="P57" s="2">
        <f>SUM(OSRRefP22_9x_0)</f>
        <v>131139.97</v>
      </c>
      <c r="Q57" s="2"/>
      <c r="R57" s="6">
        <f t="shared" si="12"/>
        <v>0.2995088957405504</v>
      </c>
      <c r="S57" s="2"/>
      <c r="T57" s="2">
        <f>SUM(OSRRefT22_9x_0)</f>
        <v>160200</v>
      </c>
      <c r="U57" s="2"/>
      <c r="V57" s="6">
        <f t="shared" si="13"/>
        <v>0.28643561099111725</v>
      </c>
      <c r="W57" s="2"/>
      <c r="X57" s="2">
        <f t="shared" si="14"/>
        <v>-29060.03</v>
      </c>
      <c r="Y57" s="2"/>
      <c r="Z57" s="6">
        <f t="shared" si="15"/>
        <v>-0.18139843945068662</v>
      </c>
    </row>
    <row r="58" spans="1:26" s="70" customFormat="1" ht="15" hidden="1" customHeight="1" outlineLevel="2" x14ac:dyDescent="0.25">
      <c r="A58" s="25"/>
      <c r="B58" s="12" t="str">
        <f>CONCATENATE("          ","6371"," - ","COMPUTER SOFTWARE MAINTENANCE")</f>
        <v xml:space="preserve">          6371 - COMPUTER SOFTWARE MAINTENANCE</v>
      </c>
      <c r="C58" s="12"/>
      <c r="D58" s="8"/>
      <c r="E58" s="3"/>
      <c r="F58" s="7">
        <f t="shared" si="8"/>
        <v>0</v>
      </c>
      <c r="G58" s="3"/>
      <c r="H58" s="8"/>
      <c r="I58" s="3"/>
      <c r="J58" s="7">
        <f t="shared" si="9"/>
        <v>0</v>
      </c>
      <c r="K58" s="3"/>
      <c r="L58" s="8">
        <f t="shared" si="10"/>
        <v>0</v>
      </c>
      <c r="M58" s="3"/>
      <c r="N58" s="7">
        <f t="shared" si="11"/>
        <v>0</v>
      </c>
      <c r="O58" s="12"/>
      <c r="P58" s="8">
        <v>7583.7</v>
      </c>
      <c r="Q58" s="3"/>
      <c r="R58" s="7">
        <f t="shared" si="12"/>
        <v>1.7320315176430283E-2</v>
      </c>
      <c r="S58" s="3"/>
      <c r="T58" s="8">
        <v>125000</v>
      </c>
      <c r="U58" s="3"/>
      <c r="V58" s="7">
        <f t="shared" si="13"/>
        <v>0.2234984480267769</v>
      </c>
      <c r="W58" s="3"/>
      <c r="X58" s="8">
        <f t="shared" si="14"/>
        <v>-117416.3</v>
      </c>
      <c r="Y58" s="3"/>
      <c r="Z58" s="7">
        <f t="shared" si="15"/>
        <v>-0.93933040000000001</v>
      </c>
    </row>
    <row r="59" spans="1:26" s="70" customFormat="1" ht="15" hidden="1" customHeight="1" outlineLevel="2" x14ac:dyDescent="0.25">
      <c r="A59" s="25"/>
      <c r="B59" s="12" t="str">
        <f>CONCATENATE("          ","6372"," - ","COMPUTER HARDWARE MAINTENANCE")</f>
        <v xml:space="preserve">          6372 - COMPUTER HARDWARE MAINTENANCE</v>
      </c>
      <c r="C59" s="12"/>
      <c r="D59" s="8"/>
      <c r="E59" s="3"/>
      <c r="F59" s="7">
        <f t="shared" si="8"/>
        <v>0</v>
      </c>
      <c r="G59" s="3"/>
      <c r="H59" s="8">
        <v>3200</v>
      </c>
      <c r="I59" s="3"/>
      <c r="J59" s="7">
        <f t="shared" si="9"/>
        <v>9.3063835974989101E-2</v>
      </c>
      <c r="K59" s="3"/>
      <c r="L59" s="8">
        <f t="shared" si="10"/>
        <v>-3200</v>
      </c>
      <c r="M59" s="3"/>
      <c r="N59" s="7">
        <f t="shared" si="11"/>
        <v>-1</v>
      </c>
      <c r="O59" s="12"/>
      <c r="P59" s="8">
        <v>1555.65</v>
      </c>
      <c r="Q59" s="3"/>
      <c r="R59" s="7">
        <f t="shared" si="12"/>
        <v>3.5529290853031862E-3</v>
      </c>
      <c r="S59" s="3"/>
      <c r="T59" s="8">
        <v>35200</v>
      </c>
      <c r="U59" s="3"/>
      <c r="V59" s="7">
        <f t="shared" si="13"/>
        <v>6.2937162964340376E-2</v>
      </c>
      <c r="W59" s="3"/>
      <c r="X59" s="8">
        <f t="shared" si="14"/>
        <v>-33644.35</v>
      </c>
      <c r="Y59" s="3"/>
      <c r="Z59" s="7">
        <f t="shared" si="15"/>
        <v>-0.95580539772727269</v>
      </c>
    </row>
    <row r="60" spans="1:26" s="70" customFormat="1" ht="15" hidden="1" customHeight="1" outlineLevel="2" x14ac:dyDescent="0.25">
      <c r="A60" s="25"/>
      <c r="B60" s="12" t="str">
        <f>CONCATENATE("          ","6373"," - ","MAINTENANCE CONTRACTS")</f>
        <v xml:space="preserve">          6373 - MAINTENANCE CONTRACTS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122000.62</v>
      </c>
      <c r="Q60" s="3"/>
      <c r="R60" s="7">
        <f t="shared" si="12"/>
        <v>0.27863565147881691</v>
      </c>
      <c r="S60" s="3"/>
      <c r="T60" s="8"/>
      <c r="U60" s="3"/>
      <c r="V60" s="7">
        <f t="shared" si="13"/>
        <v>0</v>
      </c>
      <c r="W60" s="3"/>
      <c r="X60" s="8">
        <f t="shared" si="14"/>
        <v>122000.62</v>
      </c>
      <c r="Y60" s="3"/>
      <c r="Z60" s="7">
        <f t="shared" si="15"/>
        <v>0</v>
      </c>
    </row>
    <row r="61" spans="1:26" s="69" customFormat="1" ht="15" customHeight="1" outlineLevel="1" collapsed="1" x14ac:dyDescent="0.25">
      <c r="A61" s="26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935</v>
      </c>
      <c r="E61" s="2"/>
      <c r="F61" s="6">
        <f t="shared" si="8"/>
        <v>2.4362916254103913E-2</v>
      </c>
      <c r="G61" s="2"/>
      <c r="H61" s="2">
        <f>SUM(OSRRefH22_10x_0)</f>
        <v>85</v>
      </c>
      <c r="I61" s="2"/>
      <c r="J61" s="6">
        <f t="shared" si="9"/>
        <v>2.4720081430856479E-3</v>
      </c>
      <c r="K61" s="2"/>
      <c r="L61" s="2">
        <f t="shared" si="10"/>
        <v>850</v>
      </c>
      <c r="M61" s="2"/>
      <c r="N61" s="6">
        <f t="shared" si="11"/>
        <v>10</v>
      </c>
      <c r="O61" s="14"/>
      <c r="P61" s="2">
        <f>SUM(OSRRefP22_10x_0)</f>
        <v>935</v>
      </c>
      <c r="Q61" s="2"/>
      <c r="R61" s="6">
        <f t="shared" si="12"/>
        <v>2.135434509535229E-3</v>
      </c>
      <c r="S61" s="2"/>
      <c r="T61" s="2">
        <f>SUM(OSRRefT22_10x_0)</f>
        <v>935</v>
      </c>
      <c r="U61" s="2"/>
      <c r="V61" s="6">
        <f t="shared" si="13"/>
        <v>1.6717683912402912E-3</v>
      </c>
      <c r="W61" s="2"/>
      <c r="X61" s="2">
        <f t="shared" si="14"/>
        <v>0</v>
      </c>
      <c r="Y61" s="2"/>
      <c r="Z61" s="6">
        <f t="shared" si="15"/>
        <v>0</v>
      </c>
    </row>
    <row r="62" spans="1:26" s="70" customFormat="1" ht="15" hidden="1" customHeight="1" outlineLevel="2" x14ac:dyDescent="0.25">
      <c r="A62" s="25"/>
      <c r="B62" s="12" t="str">
        <f>CONCATENATE("          ","6258"," - ","MEMBERSHIP DUES")</f>
        <v xml:space="preserve">          6258 - MEMBERSHIP DUES</v>
      </c>
      <c r="C62" s="12"/>
      <c r="D62" s="8">
        <v>935</v>
      </c>
      <c r="E62" s="3"/>
      <c r="F62" s="7">
        <f t="shared" si="8"/>
        <v>2.4362916254103913E-2</v>
      </c>
      <c r="G62" s="3"/>
      <c r="H62" s="8">
        <v>85</v>
      </c>
      <c r="I62" s="3"/>
      <c r="J62" s="7">
        <f t="shared" si="9"/>
        <v>2.4720081430856479E-3</v>
      </c>
      <c r="K62" s="3"/>
      <c r="L62" s="8">
        <f t="shared" si="10"/>
        <v>850</v>
      </c>
      <c r="M62" s="3"/>
      <c r="N62" s="7">
        <f t="shared" si="11"/>
        <v>10</v>
      </c>
      <c r="O62" s="12"/>
      <c r="P62" s="8">
        <v>935</v>
      </c>
      <c r="Q62" s="3"/>
      <c r="R62" s="7">
        <f t="shared" si="12"/>
        <v>2.135434509535229E-3</v>
      </c>
      <c r="S62" s="3"/>
      <c r="T62" s="8">
        <v>935</v>
      </c>
      <c r="U62" s="3"/>
      <c r="V62" s="7">
        <f t="shared" si="13"/>
        <v>1.6717683912402912E-3</v>
      </c>
      <c r="W62" s="3"/>
      <c r="X62" s="8">
        <f t="shared" si="14"/>
        <v>0</v>
      </c>
      <c r="Y62" s="3"/>
      <c r="Z62" s="7">
        <f t="shared" si="15"/>
        <v>0</v>
      </c>
    </row>
    <row r="63" spans="1:26" s="69" customFormat="1" ht="15" customHeight="1" outlineLevel="1" collapsed="1" x14ac:dyDescent="0.25">
      <c r="A63" s="26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16751.38</v>
      </c>
      <c r="E63" s="2"/>
      <c r="F63" s="6">
        <f t="shared" si="8"/>
        <v>0.43648392308093181</v>
      </c>
      <c r="G63" s="2"/>
      <c r="H63" s="2">
        <f>SUM(OSRRefH22_11x_0)</f>
        <v>5800</v>
      </c>
      <c r="I63" s="2"/>
      <c r="J63" s="6">
        <f t="shared" si="9"/>
        <v>0.16867820270466774</v>
      </c>
      <c r="K63" s="2"/>
      <c r="L63" s="2">
        <f t="shared" si="10"/>
        <v>10951.380000000001</v>
      </c>
      <c r="M63" s="2"/>
      <c r="N63" s="6">
        <f t="shared" si="11"/>
        <v>1.8881689655172416</v>
      </c>
      <c r="O63" s="14"/>
      <c r="P63" s="2">
        <f>SUM(OSRRefP22_11x_0)</f>
        <v>46366.909999999996</v>
      </c>
      <c r="Q63" s="2"/>
      <c r="R63" s="6">
        <f t="shared" si="12"/>
        <v>0.10589679113851774</v>
      </c>
      <c r="S63" s="2"/>
      <c r="T63" s="2">
        <f>SUM(OSRRefT22_11x_0)</f>
        <v>63800</v>
      </c>
      <c r="U63" s="2"/>
      <c r="V63" s="6">
        <f t="shared" si="13"/>
        <v>0.11407360787286693</v>
      </c>
      <c r="W63" s="2"/>
      <c r="X63" s="2">
        <f t="shared" si="14"/>
        <v>-17433.090000000004</v>
      </c>
      <c r="Y63" s="2"/>
      <c r="Z63" s="6">
        <f t="shared" si="15"/>
        <v>-0.27324592476489035</v>
      </c>
    </row>
    <row r="64" spans="1:26" s="70" customFormat="1" ht="15" hidden="1" customHeight="1" outlineLevel="2" x14ac:dyDescent="0.25">
      <c r="A64" s="25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>
        <v>5800</v>
      </c>
      <c r="I64" s="3"/>
      <c r="J64" s="7">
        <f t="shared" si="9"/>
        <v>0.16867820270466774</v>
      </c>
      <c r="K64" s="3"/>
      <c r="L64" s="8">
        <f t="shared" si="10"/>
        <v>-5800</v>
      </c>
      <c r="M64" s="3"/>
      <c r="N64" s="7">
        <f t="shared" si="11"/>
        <v>-1</v>
      </c>
      <c r="O64" s="12"/>
      <c r="P64" s="8"/>
      <c r="Q64" s="3"/>
      <c r="R64" s="7">
        <f t="shared" si="12"/>
        <v>0</v>
      </c>
      <c r="S64" s="3"/>
      <c r="T64" s="8">
        <v>63800</v>
      </c>
      <c r="U64" s="3"/>
      <c r="V64" s="7">
        <f t="shared" si="13"/>
        <v>0.11407360787286693</v>
      </c>
      <c r="W64" s="3"/>
      <c r="X64" s="8">
        <f t="shared" si="14"/>
        <v>-63800</v>
      </c>
      <c r="Y64" s="3"/>
      <c r="Z64" s="7">
        <f t="shared" si="15"/>
        <v>-1</v>
      </c>
    </row>
    <row r="65" spans="1:26" s="70" customFormat="1" ht="15" hidden="1" customHeight="1" outlineLevel="2" x14ac:dyDescent="0.25">
      <c r="A65" s="25"/>
      <c r="B65" s="12" t="str">
        <f>CONCATENATE("          ","6241"," - ","OFFICE EXPENSE")</f>
        <v xml:space="preserve">          6241 - OFFICE EXPENSE</v>
      </c>
      <c r="C65" s="12"/>
      <c r="D65" s="8">
        <v>16751.38</v>
      </c>
      <c r="E65" s="3"/>
      <c r="F65" s="7">
        <f t="shared" si="8"/>
        <v>0.43648392308093181</v>
      </c>
      <c r="G65" s="3"/>
      <c r="H65" s="8"/>
      <c r="I65" s="3"/>
      <c r="J65" s="7">
        <f t="shared" si="9"/>
        <v>0</v>
      </c>
      <c r="K65" s="3"/>
      <c r="L65" s="8">
        <f t="shared" si="10"/>
        <v>16751.38</v>
      </c>
      <c r="M65" s="3"/>
      <c r="N65" s="7">
        <f t="shared" si="11"/>
        <v>0</v>
      </c>
      <c r="O65" s="12"/>
      <c r="P65" s="8">
        <v>46341.56</v>
      </c>
      <c r="Q65" s="3"/>
      <c r="R65" s="7">
        <f t="shared" si="12"/>
        <v>0.10583889459860682</v>
      </c>
      <c r="S65" s="3"/>
      <c r="T65" s="8"/>
      <c r="U65" s="3"/>
      <c r="V65" s="7">
        <f t="shared" si="13"/>
        <v>0</v>
      </c>
      <c r="W65" s="3"/>
      <c r="X65" s="8">
        <f t="shared" si="14"/>
        <v>46341.56</v>
      </c>
      <c r="Y65" s="3"/>
      <c r="Z65" s="7">
        <f t="shared" si="15"/>
        <v>0</v>
      </c>
    </row>
    <row r="66" spans="1:26" s="70" customFormat="1" ht="15" hidden="1" customHeight="1" outlineLevel="2" x14ac:dyDescent="0.25">
      <c r="A66" s="25"/>
      <c r="B66" s="12" t="str">
        <f>CONCATENATE("          ","6247"," - ","STORE SUPPLIES")</f>
        <v xml:space="preserve">          6247 - STORE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25.35</v>
      </c>
      <c r="Q66" s="3"/>
      <c r="R66" s="7">
        <f t="shared" si="12"/>
        <v>5.78965399109284E-5</v>
      </c>
      <c r="S66" s="3"/>
      <c r="T66" s="8"/>
      <c r="U66" s="3"/>
      <c r="V66" s="7">
        <f t="shared" si="13"/>
        <v>0</v>
      </c>
      <c r="W66" s="3"/>
      <c r="X66" s="8">
        <f t="shared" si="14"/>
        <v>25.35</v>
      </c>
      <c r="Y66" s="3"/>
      <c r="Z66" s="7">
        <f t="shared" si="15"/>
        <v>0</v>
      </c>
    </row>
    <row r="67" spans="1:26" s="69" customFormat="1" ht="15" customHeight="1" outlineLevel="1" collapsed="1" x14ac:dyDescent="0.25">
      <c r="A67" s="26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40.799999999999997</v>
      </c>
      <c r="E67" s="2"/>
      <c r="F67" s="6">
        <f t="shared" si="8"/>
        <v>1.0631090729063526E-3</v>
      </c>
      <c r="G67" s="2"/>
      <c r="H67" s="2">
        <f>SUM(OSRRefH22_12x_0)</f>
        <v>350</v>
      </c>
      <c r="I67" s="2"/>
      <c r="J67" s="6">
        <f t="shared" si="9"/>
        <v>1.0178857059764432E-2</v>
      </c>
      <c r="K67" s="2"/>
      <c r="L67" s="2">
        <f t="shared" si="10"/>
        <v>-309.2</v>
      </c>
      <c r="M67" s="2"/>
      <c r="N67" s="6">
        <f t="shared" si="11"/>
        <v>-0.88342857142857134</v>
      </c>
      <c r="O67" s="14"/>
      <c r="P67" s="2">
        <f>SUM(OSRRefP22_12x_0)</f>
        <v>464.49</v>
      </c>
      <c r="Q67" s="2"/>
      <c r="R67" s="6">
        <f t="shared" si="12"/>
        <v>1.0608427543679342E-3</v>
      </c>
      <c r="S67" s="2"/>
      <c r="T67" s="2">
        <f>SUM(OSRRefT22_12x_0)</f>
        <v>3850</v>
      </c>
      <c r="U67" s="2"/>
      <c r="V67" s="6">
        <f t="shared" si="13"/>
        <v>6.8837521992247287E-3</v>
      </c>
      <c r="W67" s="2"/>
      <c r="X67" s="2">
        <f t="shared" si="14"/>
        <v>-3385.51</v>
      </c>
      <c r="Y67" s="2"/>
      <c r="Z67" s="6">
        <f t="shared" si="15"/>
        <v>-0.87935324675324678</v>
      </c>
    </row>
    <row r="68" spans="1:26" s="70" customFormat="1" ht="15" hidden="1" customHeight="1" outlineLevel="2" x14ac:dyDescent="0.25">
      <c r="A68" s="25"/>
      <c r="B68" s="12" t="str">
        <f>CONCATENATE("          ","6309"," - ","TELEPHONE")</f>
        <v xml:space="preserve">          6309 - TELEPHONE</v>
      </c>
      <c r="C68" s="12"/>
      <c r="D68" s="8">
        <v>40.799999999999997</v>
      </c>
      <c r="E68" s="3"/>
      <c r="F68" s="7">
        <f t="shared" si="8"/>
        <v>1.0631090729063526E-3</v>
      </c>
      <c r="G68" s="3"/>
      <c r="H68" s="8">
        <v>350</v>
      </c>
      <c r="I68" s="3"/>
      <c r="J68" s="7">
        <f t="shared" si="9"/>
        <v>1.0178857059764432E-2</v>
      </c>
      <c r="K68" s="3"/>
      <c r="L68" s="8">
        <f t="shared" si="10"/>
        <v>-309.2</v>
      </c>
      <c r="M68" s="3"/>
      <c r="N68" s="7">
        <f t="shared" si="11"/>
        <v>-0.88342857142857134</v>
      </c>
      <c r="O68" s="12"/>
      <c r="P68" s="8">
        <v>464.49</v>
      </c>
      <c r="Q68" s="3"/>
      <c r="R68" s="7">
        <f t="shared" si="12"/>
        <v>1.0608427543679342E-3</v>
      </c>
      <c r="S68" s="3"/>
      <c r="T68" s="8">
        <v>3850</v>
      </c>
      <c r="U68" s="3"/>
      <c r="V68" s="7">
        <f t="shared" si="13"/>
        <v>6.8837521992247287E-3</v>
      </c>
      <c r="W68" s="3"/>
      <c r="X68" s="8">
        <f t="shared" si="14"/>
        <v>-3385.51</v>
      </c>
      <c r="Y68" s="3"/>
      <c r="Z68" s="7">
        <f t="shared" si="15"/>
        <v>-0.87935324675324678</v>
      </c>
    </row>
    <row r="69" spans="1:26" s="69" customFormat="1" ht="15" customHeight="1" outlineLevel="1" collapsed="1" x14ac:dyDescent="0.25">
      <c r="A69" s="26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0</v>
      </c>
      <c r="M69" s="2"/>
      <c r="N69" s="6">
        <f t="shared" si="11"/>
        <v>0</v>
      </c>
      <c r="O69" s="14"/>
      <c r="P69" s="2">
        <f>SUM(OSRRefP22_13x_0)</f>
        <v>2000</v>
      </c>
      <c r="Q69" s="2"/>
      <c r="R69" s="6">
        <f t="shared" si="12"/>
        <v>4.5677743519470142E-3</v>
      </c>
      <c r="S69" s="2"/>
      <c r="T69" s="2">
        <f>SUM(OSRRefT22_13x_0)</f>
        <v>4500</v>
      </c>
      <c r="U69" s="2"/>
      <c r="V69" s="6">
        <f t="shared" si="13"/>
        <v>8.045944128963969E-3</v>
      </c>
      <c r="W69" s="2"/>
      <c r="X69" s="2">
        <f t="shared" si="14"/>
        <v>-2500</v>
      </c>
      <c r="Y69" s="2"/>
      <c r="Z69" s="6">
        <f t="shared" si="15"/>
        <v>-0.55555555555555558</v>
      </c>
    </row>
    <row r="70" spans="1:26" s="70" customFormat="1" ht="15" hidden="1" customHeight="1" outlineLevel="2" x14ac:dyDescent="0.25">
      <c r="A70" s="25"/>
      <c r="B70" s="12" t="str">
        <f>CONCATENATE("          ","6376"," - ","TRAINING")</f>
        <v xml:space="preserve">          6376 - TRAINING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2000</v>
      </c>
      <c r="Q70" s="3"/>
      <c r="R70" s="7">
        <f t="shared" si="12"/>
        <v>4.5677743519470142E-3</v>
      </c>
      <c r="S70" s="3"/>
      <c r="T70" s="8">
        <v>4500</v>
      </c>
      <c r="U70" s="3"/>
      <c r="V70" s="7">
        <f t="shared" si="13"/>
        <v>8.045944128963969E-3</v>
      </c>
      <c r="W70" s="3"/>
      <c r="X70" s="8">
        <f t="shared" si="14"/>
        <v>-2500</v>
      </c>
      <c r="Y70" s="3"/>
      <c r="Z70" s="7">
        <f t="shared" si="15"/>
        <v>-0.55555555555555558</v>
      </c>
    </row>
    <row r="71" spans="1:26" s="65" customFormat="1" ht="15" customHeight="1" x14ac:dyDescent="0.25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25">
      <c r="A72" s="11"/>
      <c r="B72" s="27" t="s">
        <v>291</v>
      </c>
      <c r="C72" s="11"/>
      <c r="D72" s="5">
        <f>SUM(OSRRefD25x_0)</f>
        <v>1351.76</v>
      </c>
      <c r="E72" s="5"/>
      <c r="F72" s="13">
        <f>IF(D$12=0,0,D72/D$12)</f>
        <v>3.5222262754703214E-2</v>
      </c>
      <c r="G72" s="5"/>
      <c r="H72" s="5">
        <f>SUM(OSRRefH25x_0)</f>
        <v>2400</v>
      </c>
      <c r="I72" s="5"/>
      <c r="J72" s="13">
        <f>IF(H$12=0,0,H72/H$12)</f>
        <v>6.9797876981241819E-2</v>
      </c>
      <c r="K72" s="5"/>
      <c r="L72" s="5">
        <f>+D72-H72</f>
        <v>-1048.24</v>
      </c>
      <c r="M72" s="5"/>
      <c r="N72" s="13">
        <f>IF(H72=0,0,L72/H72)</f>
        <v>-0.43676666666666669</v>
      </c>
      <c r="O72" s="11"/>
      <c r="P72" s="5">
        <f>SUM(OSRRefP25x_0)</f>
        <v>12568.64</v>
      </c>
      <c r="Q72" s="5"/>
      <c r="R72" s="13">
        <f>IF(P$12=0,0,P72/P$12)</f>
        <v>2.8705355715427656E-2</v>
      </c>
      <c r="S72" s="5"/>
      <c r="T72" s="5">
        <f>SUM(OSRRefT25x_0)</f>
        <v>26400</v>
      </c>
      <c r="U72" s="5"/>
      <c r="V72" s="13">
        <f>IF(T$12=0,0,T72/T$12)</f>
        <v>4.7202872223255282E-2</v>
      </c>
      <c r="W72" s="5"/>
      <c r="X72" s="5">
        <f>+P72-T72</f>
        <v>-13831.36</v>
      </c>
      <c r="Y72" s="5"/>
      <c r="Z72" s="13">
        <f>IF(T72=0,0,X72/T72)</f>
        <v>-0.52391515151515156</v>
      </c>
    </row>
    <row r="73" spans="1:26" s="70" customFormat="1" ht="15" hidden="1" customHeight="1" outlineLevel="1" x14ac:dyDescent="0.25">
      <c r="A73" s="42"/>
      <c r="B73" s="12" t="str">
        <f>CONCATENATE("          ","9150"," - ","MISC. INCOME")</f>
        <v xml:space="preserve">          9150 - MISC. INCOME</v>
      </c>
      <c r="C73" s="12"/>
      <c r="D73" s="3">
        <f>--1351.76</f>
        <v>1351.76</v>
      </c>
      <c r="E73" s="3"/>
      <c r="F73" s="20">
        <f>IF(D$12=0,0,D73/D$12)</f>
        <v>3.5222262754703214E-2</v>
      </c>
      <c r="G73" s="3"/>
      <c r="H73" s="3">
        <v>2400</v>
      </c>
      <c r="I73" s="3"/>
      <c r="J73" s="20">
        <f>IF(H$12=0,0,H73/H$12)</f>
        <v>6.9797876981241819E-2</v>
      </c>
      <c r="K73" s="3"/>
      <c r="L73" s="3">
        <f>+D73-H73</f>
        <v>-1048.24</v>
      </c>
      <c r="M73" s="3"/>
      <c r="N73" s="20">
        <f>IF(H73=0,0,L73/H73)</f>
        <v>-0.43676666666666669</v>
      </c>
      <c r="O73" s="12"/>
      <c r="P73" s="3">
        <f>--12568.64</f>
        <v>12568.64</v>
      </c>
      <c r="Q73" s="3"/>
      <c r="R73" s="20">
        <f>IF(P$12=0,0,P73/P$12)</f>
        <v>2.8705355715427656E-2</v>
      </c>
      <c r="S73" s="3"/>
      <c r="T73" s="3">
        <v>26400</v>
      </c>
      <c r="U73" s="3"/>
      <c r="V73" s="20">
        <f>IF(T$12=0,0,T73/T$12)</f>
        <v>4.7202872223255282E-2</v>
      </c>
      <c r="W73" s="3"/>
      <c r="X73" s="3">
        <f>+P73-T73</f>
        <v>-13831.36</v>
      </c>
      <c r="Y73" s="3"/>
      <c r="Z73" s="20">
        <f>IF(T73=0,0,X73/T73)</f>
        <v>-0.52391515151515156</v>
      </c>
    </row>
    <row r="74" spans="1:26" ht="15" customHeight="1" x14ac:dyDescent="0.25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25">
      <c r="A75" s="11"/>
      <c r="B75" s="28" t="s">
        <v>292</v>
      </c>
      <c r="C75" s="28"/>
      <c r="D75" s="22">
        <f>+D17-D19+D72</f>
        <v>569.33999999998719</v>
      </c>
      <c r="E75" s="15"/>
      <c r="F75" s="21">
        <f>IF(D$12=0,0,D75/D$12)</f>
        <v>1.4835061754129636E-2</v>
      </c>
      <c r="G75" s="15"/>
      <c r="H75" s="22">
        <f>+H17-H19+H72</f>
        <v>3514.6434708223096</v>
      </c>
      <c r="I75" s="15"/>
      <c r="J75" s="21">
        <f>IF(H$12=0,0,H75/H$12)</f>
        <v>0.10221443858724182</v>
      </c>
      <c r="K75" s="16"/>
      <c r="L75" s="22">
        <f>+D75-H75</f>
        <v>-2945.3034708223222</v>
      </c>
      <c r="M75" s="16"/>
      <c r="N75" s="21">
        <f>IF(H75=0,0,L75/H75)</f>
        <v>-0.8380091736967048</v>
      </c>
      <c r="O75" s="27"/>
      <c r="P75" s="22">
        <f>+P17-P19+P72</f>
        <v>45253.61000000003</v>
      </c>
      <c r="Q75" s="15"/>
      <c r="R75" s="21">
        <f>IF(P$12=0,0,P75/P$12)</f>
        <v>0.10335413954550653</v>
      </c>
      <c r="S75" s="15"/>
      <c r="T75" s="22">
        <f>+T17-T19+T72</f>
        <v>57161.530934867682</v>
      </c>
      <c r="U75" s="15"/>
      <c r="V75" s="21">
        <f>IF(T$12=0,0,T75/T$12)</f>
        <v>0.1022041076062202</v>
      </c>
      <c r="W75" s="16"/>
      <c r="X75" s="22">
        <f>+P75-T75</f>
        <v>-11907.920934867652</v>
      </c>
      <c r="Y75" s="16"/>
      <c r="Z75" s="21">
        <f>IF(T75=0,0,X75/T75)</f>
        <v>-0.20832053900788716</v>
      </c>
    </row>
    <row r="76" spans="1:26" ht="15" customHeight="1" x14ac:dyDescent="0.25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25">
      <c r="A77" s="49"/>
      <c r="B77" s="11" t="s">
        <v>293</v>
      </c>
      <c r="C77" s="11"/>
      <c r="D77" s="5">
        <v>3971.7</v>
      </c>
      <c r="E77" s="5"/>
      <c r="F77" s="13">
        <f>IF(D$12=0,0,D77/D$12)</f>
        <v>0.10348897806034707</v>
      </c>
      <c r="G77" s="5"/>
      <c r="H77" s="5">
        <v>4760</v>
      </c>
      <c r="I77" s="5"/>
      <c r="J77" s="13">
        <f>IF(H$12=0,0,H77/H$12)</f>
        <v>0.13843245601279627</v>
      </c>
      <c r="K77" s="5"/>
      <c r="L77" s="5">
        <f>+D77-H77</f>
        <v>-788.30000000000018</v>
      </c>
      <c r="M77" s="5"/>
      <c r="N77" s="13">
        <f>IF(H77=0,0,L77/H77)</f>
        <v>-0.16560924369747904</v>
      </c>
      <c r="O77" s="11"/>
      <c r="P77" s="5">
        <v>49225.440000000002</v>
      </c>
      <c r="Q77" s="5"/>
      <c r="R77" s="13">
        <f>IF(P$12=0,0,P77/P$12)</f>
        <v>0.11242535114765331</v>
      </c>
      <c r="S77" s="5"/>
      <c r="T77" s="5">
        <v>69331</v>
      </c>
      <c r="U77" s="5"/>
      <c r="V77" s="13">
        <f>IF(T$12=0,0,T77/T$12)</f>
        <v>0.12396296720115575</v>
      </c>
      <c r="W77" s="5"/>
      <c r="X77" s="5">
        <f>+P77-T77</f>
        <v>-20105.559999999998</v>
      </c>
      <c r="Y77" s="5"/>
      <c r="Z77" s="13">
        <f>IF(T77=0,0,X77/T77)</f>
        <v>-0.28999379786819746</v>
      </c>
    </row>
    <row r="78" spans="1:26" ht="15" customHeight="1" x14ac:dyDescent="0.25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25">
      <c r="A79" s="11"/>
      <c r="B79" s="28" t="s">
        <v>294</v>
      </c>
      <c r="C79" s="28"/>
      <c r="D79" s="34">
        <f>+D75-D77</f>
        <v>-3402.3600000000124</v>
      </c>
      <c r="E79" s="15"/>
      <c r="F79" s="32">
        <f>IF(D$12=0,0,D79/D$12)</f>
        <v>-8.8653916306217426E-2</v>
      </c>
      <c r="G79" s="15"/>
      <c r="H79" s="34">
        <f>+H75-H77</f>
        <v>-1245.3565291776904</v>
      </c>
      <c r="I79" s="15"/>
      <c r="J79" s="32">
        <f>IF(H$12=0,0,H79/H$12)</f>
        <v>-3.6218017425554465E-2</v>
      </c>
      <c r="K79" s="16"/>
      <c r="L79" s="34">
        <f>D79-H79</f>
        <v>-2157.003470822322</v>
      </c>
      <c r="M79" s="16"/>
      <c r="N79" s="32">
        <f>IF(H79=0,0,L79/H79)</f>
        <v>1.7320369069302528</v>
      </c>
      <c r="O79" s="27"/>
      <c r="P79" s="34">
        <f>+P75-P77</f>
        <v>-3971.8299999999726</v>
      </c>
      <c r="Q79" s="15"/>
      <c r="R79" s="32">
        <f>IF(P$12=0,0,P79/P$12)</f>
        <v>-9.0712116021467917E-3</v>
      </c>
      <c r="S79" s="15"/>
      <c r="T79" s="34">
        <f>+T75-T77</f>
        <v>-12169.469065132318</v>
      </c>
      <c r="U79" s="15"/>
      <c r="V79" s="32">
        <f>IF(T$12=0,0,T79/T$12)</f>
        <v>-2.1758859594935558E-2</v>
      </c>
      <c r="W79" s="16"/>
      <c r="X79" s="34">
        <f>P79-T79</f>
        <v>8197.6390651323454</v>
      </c>
      <c r="Y79" s="16"/>
      <c r="Z79" s="32">
        <f>IF(T79=0,0,X79/T79)</f>
        <v>-0.67362339484637268</v>
      </c>
    </row>
    <row r="80" spans="1:26" ht="15" customHeight="1" x14ac:dyDescent="0.25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25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25">
      <c r="A82" s="11"/>
      <c r="B82" s="28" t="s">
        <v>297</v>
      </c>
      <c r="C82" s="28"/>
      <c r="D82" s="30">
        <f>SUM(D79:D81)</f>
        <v>-3402.3600000000124</v>
      </c>
      <c r="E82" s="15"/>
      <c r="F82" s="33">
        <f>IF(D$12=0,0,D82/D$12)</f>
        <v>-8.8653916306217426E-2</v>
      </c>
      <c r="G82" s="15"/>
      <c r="H82" s="30">
        <f>SUM(H79:H81)</f>
        <v>-1245.3565291776904</v>
      </c>
      <c r="I82" s="15"/>
      <c r="J82" s="33">
        <f>IF(H$12=0,0,H82/H$12)</f>
        <v>-3.6218017425554465E-2</v>
      </c>
      <c r="K82" s="16"/>
      <c r="L82" s="30">
        <f>+D82-H82</f>
        <v>-2157.003470822322</v>
      </c>
      <c r="M82" s="16"/>
      <c r="N82" s="33">
        <f>IF(H82=0,0,L82/H82)</f>
        <v>1.7320369069302528</v>
      </c>
      <c r="O82" s="27"/>
      <c r="P82" s="30">
        <f>SUM(P79:P81)</f>
        <v>-3971.8299999999726</v>
      </c>
      <c r="Q82" s="15"/>
      <c r="R82" s="33">
        <f>IF(P$12=0,0,P82/P$12)</f>
        <v>-9.0712116021467917E-3</v>
      </c>
      <c r="S82" s="15"/>
      <c r="T82" s="30">
        <f>SUM(T79:T81)</f>
        <v>-12169.469065132318</v>
      </c>
      <c r="U82" s="15"/>
      <c r="V82" s="33">
        <f>IF(T$12=0,0,T82/T$12)</f>
        <v>-2.1758859594935558E-2</v>
      </c>
      <c r="W82" s="16"/>
      <c r="X82" s="30">
        <f>+P82-T82</f>
        <v>8197.6390651323454</v>
      </c>
      <c r="Y82" s="16"/>
      <c r="Z82" s="33">
        <f>IF(T82=0,0,X82/T82)</f>
        <v>-0.67362339484637268</v>
      </c>
    </row>
    <row r="83" spans="1:26" ht="15" customHeight="1" x14ac:dyDescent="0.25">
      <c r="A83" s="10"/>
      <c r="C83" s="10"/>
      <c r="D83" s="18"/>
      <c r="E83" s="18"/>
      <c r="G83" s="18"/>
      <c r="H83" s="18"/>
      <c r="I83" s="18"/>
      <c r="J83" s="40"/>
      <c r="K83" s="18"/>
      <c r="L83" s="18"/>
      <c r="M83" s="18"/>
      <c r="P83" s="18"/>
      <c r="Q83" s="18"/>
      <c r="R83" s="40"/>
      <c r="S83" s="18"/>
      <c r="T83" s="18"/>
      <c r="U83" s="18"/>
      <c r="V83" s="40"/>
      <c r="W83" s="18"/>
      <c r="X83" s="18"/>
    </row>
    <row r="84" spans="1:26" ht="15" customHeight="1" x14ac:dyDescent="0.25">
      <c r="A84" s="10"/>
      <c r="B84" s="54">
        <v>44727.874500810183</v>
      </c>
      <c r="D84" s="18"/>
      <c r="E84" s="18"/>
      <c r="G84" s="18"/>
      <c r="H84" s="18"/>
      <c r="I84" s="18"/>
      <c r="J84" s="40"/>
      <c r="K84" s="18"/>
      <c r="L84" s="18"/>
      <c r="M84" s="18"/>
      <c r="P84" s="18"/>
      <c r="Q84" s="18"/>
      <c r="R84" s="40"/>
      <c r="S84" s="18"/>
      <c r="T84" s="18"/>
      <c r="U84" s="18"/>
      <c r="V84" s="40"/>
      <c r="W84" s="18"/>
      <c r="X84" s="18"/>
    </row>
    <row r="85" spans="1:26" ht="15" customHeight="1" x14ac:dyDescent="0.25">
      <c r="A85" s="10"/>
      <c r="B85" s="50" t="s">
        <v>298</v>
      </c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25">
      <c r="A86" s="10"/>
      <c r="B86" s="58"/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3D94E-DE63-4107-B7E8-0C402D65E2BA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">
        <v>300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E2C35-647B-06E6-3C89-388ABD50CB7A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str">
        <f>CONCATENATE("Period ",RIGHT(202211,2),", ",2022)</f>
        <v>Period 11, 2022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0">
        <v>44709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str">
        <f>CONCATENATE("Department ","501"," - ","ID Card Services")</f>
        <v>Department 501 - ID Card Services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>
        <f>SUM(OSRRefD13x_0)</f>
        <v>38378</v>
      </c>
      <c r="E12" s="5"/>
      <c r="F12" s="13"/>
      <c r="G12" s="5"/>
      <c r="H12" s="5">
        <f>SUM(OSRRefH13x_0)</f>
        <v>34385</v>
      </c>
      <c r="I12" s="5"/>
      <c r="J12" s="13"/>
      <c r="K12" s="5"/>
      <c r="L12" s="5">
        <f>+D12-H12</f>
        <v>3993</v>
      </c>
      <c r="M12" s="5"/>
      <c r="N12" s="13">
        <f>IF(H12=0,0,L12/H12)</f>
        <v>0.11612621782754108</v>
      </c>
      <c r="O12" s="11"/>
      <c r="P12" s="5">
        <f>SUM(OSRRefP13x_0)</f>
        <v>437850</v>
      </c>
      <c r="Q12" s="5"/>
      <c r="R12" s="13"/>
      <c r="S12" s="5"/>
      <c r="T12" s="5">
        <f>SUM(OSRRefT13x_0)</f>
        <v>559288</v>
      </c>
      <c r="U12" s="5"/>
      <c r="V12" s="13"/>
      <c r="W12" s="5"/>
      <c r="X12" s="5">
        <f>+P12-T12</f>
        <v>-121438</v>
      </c>
      <c r="Y12" s="5"/>
      <c r="Z12" s="13">
        <f>IF(T12=0,0,X12/T12)</f>
        <v>-0.21712963625180587</v>
      </c>
    </row>
    <row r="13" spans="1:26" s="70" customFormat="1" ht="15" hidden="1" customHeight="1" outlineLevel="1" x14ac:dyDescent="0.25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--38378</f>
        <v>38378</v>
      </c>
      <c r="E13" s="3"/>
      <c r="F13" s="20"/>
      <c r="G13" s="3"/>
      <c r="H13" s="3">
        <v>34385</v>
      </c>
      <c r="I13" s="3"/>
      <c r="J13" s="20"/>
      <c r="K13" s="3"/>
      <c r="L13" s="3">
        <f>+D13-H13</f>
        <v>3993</v>
      </c>
      <c r="M13" s="3"/>
      <c r="N13" s="20">
        <f>IF(H13=0,0,L13/H13)</f>
        <v>0.11612621782754108</v>
      </c>
      <c r="O13" s="12"/>
      <c r="P13" s="3">
        <f>--437850</f>
        <v>437850</v>
      </c>
      <c r="Q13" s="3"/>
      <c r="R13" s="20"/>
      <c r="S13" s="3"/>
      <c r="T13" s="3">
        <v>559288</v>
      </c>
      <c r="U13" s="3"/>
      <c r="V13" s="20"/>
      <c r="W13" s="3"/>
      <c r="X13" s="3">
        <f>+P13-T13</f>
        <v>-121438</v>
      </c>
      <c r="Y13" s="3"/>
      <c r="Z13" s="20">
        <f>IF(T13=0,0,X13/T13)</f>
        <v>-0.21712963625180587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25">
      <c r="A15" s="11"/>
      <c r="B15" s="27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25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25">
      <c r="A17" s="11"/>
      <c r="B17" s="28" t="s">
        <v>289</v>
      </c>
      <c r="C17" s="28"/>
      <c r="D17" s="22">
        <f>D12-D15</f>
        <v>38378</v>
      </c>
      <c r="E17" s="15"/>
      <c r="F17" s="21">
        <f>IF(D$12=0,0,D17/D$12)</f>
        <v>1</v>
      </c>
      <c r="G17" s="15"/>
      <c r="H17" s="22">
        <f>H12-H15</f>
        <v>34385</v>
      </c>
      <c r="I17" s="15"/>
      <c r="J17" s="21">
        <f>IF(H$12=0,0,H17/H$12)</f>
        <v>1</v>
      </c>
      <c r="K17" s="16"/>
      <c r="L17" s="22">
        <f>+D17-H17</f>
        <v>3993</v>
      </c>
      <c r="M17" s="16"/>
      <c r="N17" s="21">
        <f>IF(H17=0,0,L17/H17)</f>
        <v>0.11612621782754108</v>
      </c>
      <c r="O17" s="27"/>
      <c r="P17" s="22">
        <f>P12-P15</f>
        <v>437850</v>
      </c>
      <c r="Q17" s="15"/>
      <c r="R17" s="21">
        <f>IF(P$12=0,0,P17/P$12)</f>
        <v>1</v>
      </c>
      <c r="S17" s="15"/>
      <c r="T17" s="22">
        <f>T12-T15</f>
        <v>559288</v>
      </c>
      <c r="U17" s="15"/>
      <c r="V17" s="21">
        <f>IF(T$12=0,0,T17/T$12)</f>
        <v>1</v>
      </c>
      <c r="W17" s="16"/>
      <c r="X17" s="22">
        <f>+P17-T17</f>
        <v>-121438</v>
      </c>
      <c r="Y17" s="16"/>
      <c r="Z17" s="21">
        <f>IF(T17=0,0,X17/T17)</f>
        <v>-0.21712963625180587</v>
      </c>
    </row>
    <row r="18" spans="1:26" ht="15" customHeight="1" x14ac:dyDescent="0.25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25">
      <c r="A19" s="11"/>
      <c r="B19" s="27" t="s">
        <v>290</v>
      </c>
      <c r="C19" s="11"/>
      <c r="D19" s="23" cm="1">
        <f t="array" ref="D19">SUM(OSRRefD22x_0)</f>
        <v>39160.420000000013</v>
      </c>
      <c r="E19" s="23"/>
      <c r="F19" s="31">
        <f t="shared" ref="F19:F50" si="0">IF(D$12=0,0,D19/D$12)</f>
        <v>1.0203872010005737</v>
      </c>
      <c r="G19" s="23"/>
      <c r="H19" s="23" cm="1">
        <f t="array" ref="H19">SUM(OSRRefH22x_0)</f>
        <v>33270.35652917769</v>
      </c>
      <c r="I19" s="23"/>
      <c r="J19" s="31">
        <f t="shared" ref="J19:J50" si="1">IF(H$12=0,0,H19/H$12)</f>
        <v>0.96758343839399996</v>
      </c>
      <c r="K19" s="5"/>
      <c r="L19" s="23">
        <f t="shared" ref="L19:L50" si="2">+D19-H19</f>
        <v>5890.0634708223224</v>
      </c>
      <c r="M19" s="5"/>
      <c r="N19" s="31">
        <f t="shared" ref="N19:N50" si="3">IF(H19=0,0,L19/H19)</f>
        <v>0.1770363796870289</v>
      </c>
      <c r="O19" s="11"/>
      <c r="P19" s="23" cm="1">
        <f t="array" ref="P19">SUM(OSRRefP22x_0)</f>
        <v>405165.02999999997</v>
      </c>
      <c r="Q19" s="23"/>
      <c r="R19" s="31">
        <f t="shared" ref="R19:R50" si="4">IF(P$12=0,0,P19/P$12)</f>
        <v>0.92535121616992111</v>
      </c>
      <c r="S19" s="23"/>
      <c r="T19" s="23" cm="1">
        <f t="array" ref="T19">SUM(OSRRefT22x_0)</f>
        <v>528526.46906513232</v>
      </c>
      <c r="U19" s="23"/>
      <c r="V19" s="31">
        <f t="shared" ref="V19:V50" si="5">IF(T$12=0,0,T19/T$12)</f>
        <v>0.94499876461703514</v>
      </c>
      <c r="W19" s="5"/>
      <c r="X19" s="23">
        <f t="shared" ref="X19:X50" si="6">+P19-T19</f>
        <v>-123361.43906513235</v>
      </c>
      <c r="Y19" s="5"/>
      <c r="Z19" s="31">
        <f t="shared" ref="Z19:Z50" si="7">IF(T19=0,0,X19/T19)</f>
        <v>-0.23340635954020697</v>
      </c>
    </row>
    <row r="20" spans="1:26" s="69" customFormat="1" ht="15" customHeight="1" outlineLevel="1" collapsed="1" x14ac:dyDescent="0.25">
      <c r="A20" s="26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4496.6900000000005</v>
      </c>
      <c r="E20" s="2"/>
      <c r="F20" s="6">
        <f t="shared" si="0"/>
        <v>0.11716842982958989</v>
      </c>
      <c r="G20" s="2"/>
      <c r="H20" s="2">
        <f>SUM(OSRRefH22_0x_0)</f>
        <v>3294.3182868699996</v>
      </c>
      <c r="I20" s="2"/>
      <c r="J20" s="6">
        <f t="shared" si="1"/>
        <v>9.5806842718336477E-2</v>
      </c>
      <c r="K20" s="2"/>
      <c r="L20" s="2">
        <f t="shared" si="2"/>
        <v>1202.3717131300009</v>
      </c>
      <c r="M20" s="2"/>
      <c r="N20" s="6">
        <f t="shared" si="3"/>
        <v>0.36498346802803905</v>
      </c>
      <c r="O20" s="14"/>
      <c r="P20" s="2">
        <f>SUM(OSRRefP22_0x_0)</f>
        <v>46839.65</v>
      </c>
      <c r="Q20" s="2"/>
      <c r="R20" s="6">
        <f t="shared" si="4"/>
        <v>0.10697647596208748</v>
      </c>
      <c r="S20" s="2"/>
      <c r="T20" s="2">
        <f>SUM(OSRRefT22_0x_0)</f>
        <v>40939.010157440003</v>
      </c>
      <c r="U20" s="2"/>
      <c r="V20" s="6">
        <f t="shared" si="5"/>
        <v>7.3198441871522371E-2</v>
      </c>
      <c r="W20" s="2"/>
      <c r="X20" s="2">
        <f t="shared" si="6"/>
        <v>5900.6398425599982</v>
      </c>
      <c r="Y20" s="2"/>
      <c r="Z20" s="6">
        <f t="shared" si="7"/>
        <v>0.14413245019524862</v>
      </c>
    </row>
    <row r="21" spans="1:26" s="70" customFormat="1" ht="15" hidden="1" customHeight="1" outlineLevel="2" x14ac:dyDescent="0.25">
      <c r="A21" s="25"/>
      <c r="B21" s="12" t="str">
        <f>CONCATENATE("          ","6111"," - ","F.I.C.A.")</f>
        <v xml:space="preserve">          6111 - F.I.C.A.</v>
      </c>
      <c r="C21" s="12"/>
      <c r="D21" s="8">
        <v>1114.3</v>
      </c>
      <c r="E21" s="3"/>
      <c r="F21" s="7">
        <f t="shared" si="0"/>
        <v>2.9034863724008545E-2</v>
      </c>
      <c r="G21" s="3"/>
      <c r="H21" s="8">
        <v>673.19318387769204</v>
      </c>
      <c r="I21" s="3"/>
      <c r="J21" s="7">
        <f t="shared" si="1"/>
        <v>1.957810626371069E-2</v>
      </c>
      <c r="K21" s="3"/>
      <c r="L21" s="8">
        <f t="shared" si="2"/>
        <v>441.10681612230792</v>
      </c>
      <c r="M21" s="3"/>
      <c r="N21" s="7">
        <f t="shared" si="3"/>
        <v>0.65524551746271043</v>
      </c>
      <c r="O21" s="12"/>
      <c r="P21" s="8">
        <v>11636.86</v>
      </c>
      <c r="Q21" s="3"/>
      <c r="R21" s="7">
        <f t="shared" si="4"/>
        <v>2.6577275322599066E-2</v>
      </c>
      <c r="S21" s="3"/>
      <c r="T21" s="8">
        <v>10027.1929215323</v>
      </c>
      <c r="U21" s="3"/>
      <c r="V21" s="7">
        <f t="shared" si="5"/>
        <v>1.7928496448220414E-2</v>
      </c>
      <c r="W21" s="3"/>
      <c r="X21" s="8">
        <f t="shared" si="6"/>
        <v>1609.6670784677008</v>
      </c>
      <c r="Y21" s="3"/>
      <c r="Z21" s="7">
        <f t="shared" si="7"/>
        <v>0.16053017938959935</v>
      </c>
    </row>
    <row r="22" spans="1:26" s="70" customFormat="1" ht="15" hidden="1" customHeight="1" outlineLevel="2" x14ac:dyDescent="0.25">
      <c r="A22" s="25"/>
      <c r="B22" s="12" t="str">
        <f>CONCATENATE("          ","6112"," - ","COMPENSATION INSURANCE")</f>
        <v xml:space="preserve">          6112 - COMPENSATION INSURANCE</v>
      </c>
      <c r="C22" s="12"/>
      <c r="D22" s="8">
        <v>331.06</v>
      </c>
      <c r="E22" s="3"/>
      <c r="F22" s="7">
        <f t="shared" si="0"/>
        <v>8.6262963155974773E-3</v>
      </c>
      <c r="G22" s="3"/>
      <c r="H22" s="8">
        <v>290.2607964</v>
      </c>
      <c r="I22" s="3"/>
      <c r="J22" s="7">
        <f t="shared" si="1"/>
        <v>8.4414947331685336E-3</v>
      </c>
      <c r="K22" s="3"/>
      <c r="L22" s="8">
        <f t="shared" si="2"/>
        <v>40.799203599999998</v>
      </c>
      <c r="M22" s="3"/>
      <c r="N22" s="7">
        <f t="shared" si="3"/>
        <v>0.14056050319580807</v>
      </c>
      <c r="O22" s="12"/>
      <c r="P22" s="8">
        <v>2029.38</v>
      </c>
      <c r="Q22" s="3"/>
      <c r="R22" s="7">
        <f t="shared" si="4"/>
        <v>4.634874957177116E-3</v>
      </c>
      <c r="S22" s="3"/>
      <c r="T22" s="8">
        <v>3640.3775568000001</v>
      </c>
      <c r="U22" s="3"/>
      <c r="V22" s="7">
        <f t="shared" si="5"/>
        <v>6.5089498734104793E-3</v>
      </c>
      <c r="W22" s="3"/>
      <c r="X22" s="8">
        <f t="shared" si="6"/>
        <v>-1610.9975568</v>
      </c>
      <c r="Y22" s="3"/>
      <c r="Z22" s="7">
        <f t="shared" si="7"/>
        <v>-0.44253584461061085</v>
      </c>
    </row>
    <row r="23" spans="1:26" s="70" customFormat="1" ht="15" hidden="1" customHeight="1" outlineLevel="2" x14ac:dyDescent="0.25">
      <c r="A23" s="25"/>
      <c r="B23" s="12" t="str">
        <f>CONCATENATE("          ","6113"," - ","GROUP INSURANCE")</f>
        <v xml:space="preserve">          6113 - GROUP INSURANCE</v>
      </c>
      <c r="C23" s="12"/>
      <c r="D23" s="8">
        <v>991.22</v>
      </c>
      <c r="E23" s="3"/>
      <c r="F23" s="7">
        <f t="shared" si="0"/>
        <v>2.582781802074105E-2</v>
      </c>
      <c r="G23" s="3"/>
      <c r="H23" s="8">
        <v>1022.5</v>
      </c>
      <c r="I23" s="3"/>
      <c r="J23" s="7">
        <f t="shared" si="1"/>
        <v>2.9736803838883233E-2</v>
      </c>
      <c r="K23" s="3"/>
      <c r="L23" s="8">
        <f t="shared" si="2"/>
        <v>-31.279999999999973</v>
      </c>
      <c r="M23" s="3"/>
      <c r="N23" s="7">
        <f t="shared" si="3"/>
        <v>-3.0591687041564765E-2</v>
      </c>
      <c r="O23" s="12"/>
      <c r="P23" s="8">
        <v>11176.12</v>
      </c>
      <c r="Q23" s="3"/>
      <c r="R23" s="7">
        <f t="shared" si="4"/>
        <v>2.5524997145141032E-2</v>
      </c>
      <c r="S23" s="3"/>
      <c r="T23" s="8">
        <v>11247.5</v>
      </c>
      <c r="U23" s="3"/>
      <c r="V23" s="7">
        <f t="shared" si="5"/>
        <v>2.0110390353449387E-2</v>
      </c>
      <c r="W23" s="3"/>
      <c r="X23" s="8">
        <f t="shared" si="6"/>
        <v>-71.3799999999992</v>
      </c>
      <c r="Y23" s="3"/>
      <c r="Z23" s="7">
        <f t="shared" si="7"/>
        <v>-6.3462991775949497E-3</v>
      </c>
    </row>
    <row r="24" spans="1:26" s="70" customFormat="1" ht="15" hidden="1" customHeight="1" outlineLevel="2" x14ac:dyDescent="0.25">
      <c r="A24" s="25"/>
      <c r="B24" s="12" t="str">
        <f>CONCATENATE("          ","6114"," - ","STATE UNEMPLOYMENT INSURANCE")</f>
        <v xml:space="preserve">          6114 - STATE UNEMPLOYMENT INSURANCE</v>
      </c>
      <c r="C24" s="12"/>
      <c r="D24" s="8">
        <v>65.77</v>
      </c>
      <c r="E24" s="3"/>
      <c r="F24" s="7">
        <f t="shared" si="0"/>
        <v>1.71374224816301E-3</v>
      </c>
      <c r="G24" s="3"/>
      <c r="H24" s="8">
        <v>39.073568746153903</v>
      </c>
      <c r="I24" s="3"/>
      <c r="J24" s="7">
        <f t="shared" si="1"/>
        <v>1.1363550602342272E-3</v>
      </c>
      <c r="K24" s="3"/>
      <c r="L24" s="8">
        <f t="shared" si="2"/>
        <v>26.696431253846093</v>
      </c>
      <c r="M24" s="3"/>
      <c r="N24" s="7">
        <f t="shared" si="3"/>
        <v>0.68323503868516955</v>
      </c>
      <c r="O24" s="12"/>
      <c r="P24" s="8">
        <v>401.17</v>
      </c>
      <c r="Q24" s="3"/>
      <c r="R24" s="7">
        <f t="shared" si="4"/>
        <v>9.1622701838529181E-4</v>
      </c>
      <c r="S24" s="3"/>
      <c r="T24" s="8">
        <v>490.05082495384602</v>
      </c>
      <c r="U24" s="3"/>
      <c r="V24" s="7">
        <f t="shared" si="5"/>
        <v>8.7620479065141045E-4</v>
      </c>
      <c r="W24" s="3"/>
      <c r="X24" s="8">
        <f t="shared" si="6"/>
        <v>-88.880824953846002</v>
      </c>
      <c r="Y24" s="3"/>
      <c r="Z24" s="7">
        <f t="shared" si="7"/>
        <v>-0.18137062612274346</v>
      </c>
    </row>
    <row r="25" spans="1:26" s="70" customFormat="1" ht="15" hidden="1" customHeight="1" outlineLevel="2" x14ac:dyDescent="0.25">
      <c r="A25" s="25"/>
      <c r="B25" s="12" t="str">
        <f>CONCATENATE("          ","6115"," - ","P.E.R.S.")</f>
        <v xml:space="preserve">          6115 - P.E.R.S.</v>
      </c>
      <c r="C25" s="12"/>
      <c r="D25" s="8">
        <v>554.66</v>
      </c>
      <c r="E25" s="3"/>
      <c r="F25" s="7">
        <f t="shared" si="0"/>
        <v>1.4452550940643075E-2</v>
      </c>
      <c r="G25" s="3"/>
      <c r="H25" s="8">
        <v>576.92767246153903</v>
      </c>
      <c r="I25" s="3"/>
      <c r="J25" s="7">
        <f t="shared" si="1"/>
        <v>1.6778469462310281E-2</v>
      </c>
      <c r="K25" s="3"/>
      <c r="L25" s="8">
        <f t="shared" si="2"/>
        <v>-22.267672461539064</v>
      </c>
      <c r="M25" s="3"/>
      <c r="N25" s="7">
        <f t="shared" si="3"/>
        <v>-3.8596991485138968E-2</v>
      </c>
      <c r="O25" s="12"/>
      <c r="P25" s="8">
        <v>7200.27</v>
      </c>
      <c r="Q25" s="3"/>
      <c r="R25" s="7">
        <f t="shared" si="4"/>
        <v>1.6444604316546763E-2</v>
      </c>
      <c r="S25" s="3"/>
      <c r="T25" s="8">
        <v>6923.1320695384702</v>
      </c>
      <c r="U25" s="3"/>
      <c r="V25" s="7">
        <f t="shared" si="5"/>
        <v>1.237847418421005E-2</v>
      </c>
      <c r="W25" s="3"/>
      <c r="X25" s="8">
        <f t="shared" si="6"/>
        <v>277.13793046153023</v>
      </c>
      <c r="Y25" s="3"/>
      <c r="Z25" s="7">
        <f t="shared" si="7"/>
        <v>4.0030715531331126E-2</v>
      </c>
    </row>
    <row r="26" spans="1:26" s="70" customFormat="1" ht="15" hidden="1" customHeight="1" outlineLevel="2" x14ac:dyDescent="0.25">
      <c r="A26" s="25"/>
      <c r="B26" s="12" t="str">
        <f>CONCATENATE("          ","6116"," - ","EDUCATIONAL BENEFITS")</f>
        <v xml:space="preserve">          6116 - EDUCATIONAL BENEFITS</v>
      </c>
      <c r="C26" s="12"/>
      <c r="D26" s="8"/>
      <c r="E26" s="3"/>
      <c r="F26" s="7">
        <f t="shared" si="0"/>
        <v>0</v>
      </c>
      <c r="G26" s="3"/>
      <c r="H26" s="8">
        <v>0</v>
      </c>
      <c r="I26" s="3"/>
      <c r="J26" s="7">
        <f t="shared" si="1"/>
        <v>0</v>
      </c>
      <c r="K26" s="3"/>
      <c r="L26" s="8">
        <f t="shared" si="2"/>
        <v>0</v>
      </c>
      <c r="M26" s="3"/>
      <c r="N26" s="7">
        <f t="shared" si="3"/>
        <v>0</v>
      </c>
      <c r="O26" s="12"/>
      <c r="P26" s="8"/>
      <c r="Q26" s="3"/>
      <c r="R26" s="7">
        <f t="shared" si="4"/>
        <v>0</v>
      </c>
      <c r="S26" s="3"/>
      <c r="T26" s="8">
        <v>0</v>
      </c>
      <c r="U26" s="3"/>
      <c r="V26" s="7">
        <f t="shared" si="5"/>
        <v>0</v>
      </c>
      <c r="W26" s="3"/>
      <c r="X26" s="8">
        <f t="shared" si="6"/>
        <v>0</v>
      </c>
      <c r="Y26" s="3"/>
      <c r="Z26" s="7">
        <f t="shared" si="7"/>
        <v>0</v>
      </c>
    </row>
    <row r="27" spans="1:26" s="70" customFormat="1" ht="15" hidden="1" customHeight="1" outlineLevel="2" x14ac:dyDescent="0.25">
      <c r="A27" s="25"/>
      <c r="B27" s="12" t="str">
        <f>CONCATENATE("          ","6117"," - ","RETIREMENT STAFF HOURLY")</f>
        <v xml:space="preserve">          6117 - RETIREMENT STAFF HOURLY</v>
      </c>
      <c r="C27" s="12"/>
      <c r="D27" s="8">
        <v>120</v>
      </c>
      <c r="E27" s="3"/>
      <c r="F27" s="7">
        <f t="shared" si="0"/>
        <v>3.1267913909010371E-3</v>
      </c>
      <c r="G27" s="3"/>
      <c r="H27" s="8"/>
      <c r="I27" s="3"/>
      <c r="J27" s="7">
        <f t="shared" si="1"/>
        <v>0</v>
      </c>
      <c r="K27" s="3"/>
      <c r="L27" s="8">
        <f t="shared" si="2"/>
        <v>120</v>
      </c>
      <c r="M27" s="3"/>
      <c r="N27" s="7">
        <f t="shared" si="3"/>
        <v>0</v>
      </c>
      <c r="O27" s="12"/>
      <c r="P27" s="8">
        <v>395.15</v>
      </c>
      <c r="Q27" s="3"/>
      <c r="R27" s="7">
        <f t="shared" si="4"/>
        <v>9.0247801758593115E-4</v>
      </c>
      <c r="S27" s="3"/>
      <c r="T27" s="8"/>
      <c r="U27" s="3"/>
      <c r="V27" s="7">
        <f t="shared" si="5"/>
        <v>0</v>
      </c>
      <c r="W27" s="3"/>
      <c r="X27" s="8">
        <f t="shared" si="6"/>
        <v>395.15</v>
      </c>
      <c r="Y27" s="3"/>
      <c r="Z27" s="7">
        <f t="shared" si="7"/>
        <v>0</v>
      </c>
    </row>
    <row r="28" spans="1:26" s="70" customFormat="1" ht="15" hidden="1" customHeight="1" outlineLevel="2" x14ac:dyDescent="0.25">
      <c r="A28" s="25"/>
      <c r="B28" s="12" t="str">
        <f>CONCATENATE("          ","6118"," - ","VACATION")</f>
        <v xml:space="preserve">          6118 - VACATION</v>
      </c>
      <c r="C28" s="12"/>
      <c r="D28" s="8">
        <v>608.20000000000005</v>
      </c>
      <c r="E28" s="3"/>
      <c r="F28" s="7">
        <f t="shared" si="0"/>
        <v>1.5847621032883424E-2</v>
      </c>
      <c r="G28" s="3"/>
      <c r="H28" s="8">
        <v>201.25383923076899</v>
      </c>
      <c r="I28" s="3"/>
      <c r="J28" s="7">
        <f t="shared" si="1"/>
        <v>5.8529544635965974E-3</v>
      </c>
      <c r="K28" s="3"/>
      <c r="L28" s="8">
        <f t="shared" si="2"/>
        <v>406.94616076923103</v>
      </c>
      <c r="M28" s="3"/>
      <c r="N28" s="7">
        <f t="shared" si="3"/>
        <v>2.0220541497476905</v>
      </c>
      <c r="O28" s="12"/>
      <c r="P28" s="8">
        <v>7435.05</v>
      </c>
      <c r="Q28" s="3"/>
      <c r="R28" s="7">
        <f t="shared" si="4"/>
        <v>1.6980815347721823E-2</v>
      </c>
      <c r="S28" s="3"/>
      <c r="T28" s="8">
        <v>2415.04607076923</v>
      </c>
      <c r="U28" s="3"/>
      <c r="V28" s="7">
        <f t="shared" si="5"/>
        <v>4.3180723898407084E-3</v>
      </c>
      <c r="W28" s="3"/>
      <c r="X28" s="8">
        <f t="shared" si="6"/>
        <v>5020.0039292307702</v>
      </c>
      <c r="Y28" s="3"/>
      <c r="Z28" s="7">
        <f t="shared" si="7"/>
        <v>2.0786369212541853</v>
      </c>
    </row>
    <row r="29" spans="1:26" s="70" customFormat="1" ht="15" hidden="1" customHeight="1" outlineLevel="2" x14ac:dyDescent="0.25">
      <c r="A29" s="25"/>
      <c r="B29" s="12" t="str">
        <f>CONCATENATE("          ","6119"," - ","SICK LEAVE")</f>
        <v xml:space="preserve">          6119 - SICK LEAVE</v>
      </c>
      <c r="C29" s="12"/>
      <c r="D29" s="8">
        <v>443.63</v>
      </c>
      <c r="E29" s="3"/>
      <c r="F29" s="7">
        <f t="shared" si="0"/>
        <v>1.1559487206211892E-2</v>
      </c>
      <c r="G29" s="3"/>
      <c r="H29" s="8">
        <v>491.10922615384601</v>
      </c>
      <c r="I29" s="3"/>
      <c r="J29" s="7">
        <f t="shared" si="1"/>
        <v>1.4282658896432921E-2</v>
      </c>
      <c r="K29" s="3"/>
      <c r="L29" s="8">
        <f t="shared" si="2"/>
        <v>-47.479226153846014</v>
      </c>
      <c r="M29" s="3"/>
      <c r="N29" s="7">
        <f t="shared" si="3"/>
        <v>-9.6677528389524828E-2</v>
      </c>
      <c r="O29" s="12"/>
      <c r="P29" s="8">
        <v>5531.01</v>
      </c>
      <c r="Q29" s="3"/>
      <c r="R29" s="7">
        <f t="shared" si="4"/>
        <v>1.2632202809181228E-2</v>
      </c>
      <c r="S29" s="3"/>
      <c r="T29" s="8">
        <v>6195.7107138461497</v>
      </c>
      <c r="U29" s="3"/>
      <c r="V29" s="7">
        <f t="shared" si="5"/>
        <v>1.1077853831739908E-2</v>
      </c>
      <c r="W29" s="3"/>
      <c r="X29" s="8">
        <f t="shared" si="6"/>
        <v>-664.70071384614948</v>
      </c>
      <c r="Y29" s="3"/>
      <c r="Z29" s="7">
        <f t="shared" si="7"/>
        <v>-0.10728401381954115</v>
      </c>
    </row>
    <row r="30" spans="1:26" s="70" customFormat="1" ht="15" hidden="1" customHeight="1" outlineLevel="2" x14ac:dyDescent="0.25">
      <c r="A30" s="25"/>
      <c r="B30" s="12" t="str">
        <f>CONCATENATE("          ","6156"," - ","EMPLOYEE MEALS")</f>
        <v xml:space="preserve">          6156 - EMPLOYEE MEALS</v>
      </c>
      <c r="C30" s="12"/>
      <c r="D30" s="8">
        <v>267.85000000000002</v>
      </c>
      <c r="E30" s="3"/>
      <c r="F30" s="7">
        <f t="shared" si="0"/>
        <v>6.979258950440357E-3</v>
      </c>
      <c r="G30" s="3"/>
      <c r="H30" s="8"/>
      <c r="I30" s="3"/>
      <c r="J30" s="7">
        <f t="shared" si="1"/>
        <v>0</v>
      </c>
      <c r="K30" s="3"/>
      <c r="L30" s="8">
        <f t="shared" si="2"/>
        <v>267.85000000000002</v>
      </c>
      <c r="M30" s="3"/>
      <c r="N30" s="7">
        <f t="shared" si="3"/>
        <v>0</v>
      </c>
      <c r="O30" s="12"/>
      <c r="P30" s="8">
        <v>1034.6400000000001</v>
      </c>
      <c r="Q30" s="3"/>
      <c r="R30" s="7">
        <f t="shared" si="4"/>
        <v>2.3630010277492296E-3</v>
      </c>
      <c r="S30" s="3"/>
      <c r="T30" s="8"/>
      <c r="U30" s="3"/>
      <c r="V30" s="7">
        <f t="shared" si="5"/>
        <v>0</v>
      </c>
      <c r="W30" s="3"/>
      <c r="X30" s="8">
        <f t="shared" si="6"/>
        <v>1034.6400000000001</v>
      </c>
      <c r="Y30" s="3"/>
      <c r="Z30" s="7">
        <f t="shared" si="7"/>
        <v>0</v>
      </c>
    </row>
    <row r="31" spans="1:26" s="69" customFormat="1" ht="15" customHeight="1" outlineLevel="1" collapsed="1" x14ac:dyDescent="0.25">
      <c r="A31" s="26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15761.880000000001</v>
      </c>
      <c r="E31" s="2"/>
      <c r="F31" s="6">
        <f t="shared" si="0"/>
        <v>0.41070092240346034</v>
      </c>
      <c r="G31" s="2"/>
      <c r="H31" s="2">
        <f>SUM(OSRRefH22_1x_0)</f>
        <v>18271.038242307688</v>
      </c>
      <c r="I31" s="2"/>
      <c r="J31" s="6">
        <f t="shared" si="1"/>
        <v>0.53136653314839866</v>
      </c>
      <c r="K31" s="2"/>
      <c r="L31" s="2">
        <f t="shared" si="2"/>
        <v>-2509.158242307687</v>
      </c>
      <c r="M31" s="2"/>
      <c r="N31" s="6">
        <f t="shared" si="3"/>
        <v>-0.13732981175079478</v>
      </c>
      <c r="O31" s="14"/>
      <c r="P31" s="2">
        <f>SUM(OSRRefP22_1x_0)</f>
        <v>163584.11000000002</v>
      </c>
      <c r="Q31" s="2"/>
      <c r="R31" s="6">
        <f t="shared" si="4"/>
        <v>0.37360765102203952</v>
      </c>
      <c r="S31" s="2"/>
      <c r="T31" s="2">
        <f>SUM(OSRRefT22_1x_0)</f>
        <v>229332.45890769229</v>
      </c>
      <c r="U31" s="2"/>
      <c r="V31" s="6">
        <f t="shared" si="5"/>
        <v>0.41004358918427053</v>
      </c>
      <c r="W31" s="2"/>
      <c r="X31" s="2">
        <f t="shared" si="6"/>
        <v>-65748.348907692271</v>
      </c>
      <c r="Y31" s="2"/>
      <c r="Z31" s="6">
        <f t="shared" si="7"/>
        <v>-0.28669447500301903</v>
      </c>
    </row>
    <row r="32" spans="1:26" s="70" customFormat="1" ht="15" hidden="1" customHeight="1" outlineLevel="2" x14ac:dyDescent="0.25">
      <c r="A32" s="25"/>
      <c r="B32" s="12" t="str">
        <f>CONCATENATE("          ","6001"," - ","ADMINISTRATIVE SALARIES")</f>
        <v xml:space="preserve">          6001 - ADMINISTRATIVE SALARIES</v>
      </c>
      <c r="C32" s="12"/>
      <c r="D32" s="8">
        <v>3726.61</v>
      </c>
      <c r="E32" s="3"/>
      <c r="F32" s="7">
        <f t="shared" si="0"/>
        <v>9.7102767210380955E-2</v>
      </c>
      <c r="G32" s="3"/>
      <c r="H32" s="8">
        <v>4139.8076923076896</v>
      </c>
      <c r="I32" s="3"/>
      <c r="J32" s="7">
        <f t="shared" si="1"/>
        <v>0.1203957450140378</v>
      </c>
      <c r="K32" s="3"/>
      <c r="L32" s="8">
        <f t="shared" si="2"/>
        <v>-413.19769230768952</v>
      </c>
      <c r="M32" s="3"/>
      <c r="N32" s="7">
        <f t="shared" si="3"/>
        <v>-9.9810842198169131E-2</v>
      </c>
      <c r="O32" s="12"/>
      <c r="P32" s="8">
        <v>51393.19</v>
      </c>
      <c r="Q32" s="3"/>
      <c r="R32" s="7">
        <f t="shared" si="4"/>
        <v>0.11737624757336988</v>
      </c>
      <c r="S32" s="3"/>
      <c r="T32" s="8">
        <v>49677.692307692298</v>
      </c>
      <c r="U32" s="3"/>
      <c r="V32" s="7">
        <f t="shared" si="5"/>
        <v>8.8823097058567849E-2</v>
      </c>
      <c r="W32" s="3"/>
      <c r="X32" s="8">
        <f t="shared" si="6"/>
        <v>1715.4976923077047</v>
      </c>
      <c r="Y32" s="3"/>
      <c r="Z32" s="7">
        <f t="shared" si="7"/>
        <v>3.4532556014927246E-2</v>
      </c>
    </row>
    <row r="33" spans="1:26" s="70" customFormat="1" ht="15" hidden="1" customHeight="1" outlineLevel="2" x14ac:dyDescent="0.25">
      <c r="A33" s="25"/>
      <c r="B33" s="12" t="str">
        <f>CONCATENATE("          ","6002"," - ","STAFF SALARIES")</f>
        <v xml:space="preserve">          6002 - STAFF SALARIES</v>
      </c>
      <c r="C33" s="12"/>
      <c r="D33" s="8">
        <v>1632</v>
      </c>
      <c r="E33" s="3"/>
      <c r="F33" s="7">
        <f t="shared" si="0"/>
        <v>4.2524362916254103E-2</v>
      </c>
      <c r="G33" s="3"/>
      <c r="H33" s="8">
        <v>2233.2305500000002</v>
      </c>
      <c r="I33" s="3"/>
      <c r="J33" s="7">
        <f t="shared" si="1"/>
        <v>6.4947812999854596E-2</v>
      </c>
      <c r="K33" s="3"/>
      <c r="L33" s="8">
        <f t="shared" si="2"/>
        <v>-601.23055000000022</v>
      </c>
      <c r="M33" s="3"/>
      <c r="N33" s="7">
        <f t="shared" si="3"/>
        <v>-0.26922009910709854</v>
      </c>
      <c r="O33" s="12"/>
      <c r="P33" s="8">
        <v>20256.57</v>
      </c>
      <c r="Q33" s="3"/>
      <c r="R33" s="7">
        <f t="shared" si="4"/>
        <v>4.626372045220966E-2</v>
      </c>
      <c r="S33" s="3"/>
      <c r="T33" s="8">
        <v>26798.766599999999</v>
      </c>
      <c r="U33" s="3"/>
      <c r="V33" s="7">
        <f t="shared" si="5"/>
        <v>4.7915861953054598E-2</v>
      </c>
      <c r="W33" s="3"/>
      <c r="X33" s="8">
        <f t="shared" si="6"/>
        <v>-6542.1965999999993</v>
      </c>
      <c r="Y33" s="3"/>
      <c r="Z33" s="7">
        <f t="shared" si="7"/>
        <v>-0.24412304855851089</v>
      </c>
    </row>
    <row r="34" spans="1:26" s="70" customFormat="1" ht="15" hidden="1" customHeight="1" outlineLevel="2" x14ac:dyDescent="0.25">
      <c r="A34" s="25"/>
      <c r="B34" s="12" t="str">
        <f>CONCATENATE("          ","6003"," - ","STAFF HOURLY-9 MONTH")</f>
        <v xml:space="preserve">          6003 - STAFF HOURLY-9 MONTH</v>
      </c>
      <c r="C34" s="12"/>
      <c r="D34" s="8"/>
      <c r="E34" s="3"/>
      <c r="F34" s="7">
        <f t="shared" si="0"/>
        <v>0</v>
      </c>
      <c r="G34" s="3"/>
      <c r="H34" s="8">
        <v>0</v>
      </c>
      <c r="I34" s="3"/>
      <c r="J34" s="7">
        <f t="shared" si="1"/>
        <v>0</v>
      </c>
      <c r="K34" s="3"/>
      <c r="L34" s="8">
        <f t="shared" si="2"/>
        <v>0</v>
      </c>
      <c r="M34" s="3"/>
      <c r="N34" s="7">
        <f t="shared" si="3"/>
        <v>0</v>
      </c>
      <c r="O34" s="12"/>
      <c r="P34" s="8"/>
      <c r="Q34" s="3"/>
      <c r="R34" s="7">
        <f t="shared" si="4"/>
        <v>0</v>
      </c>
      <c r="S34" s="3"/>
      <c r="T34" s="8">
        <v>0</v>
      </c>
      <c r="U34" s="3"/>
      <c r="V34" s="7">
        <f t="shared" si="5"/>
        <v>0</v>
      </c>
      <c r="W34" s="3"/>
      <c r="X34" s="8">
        <f t="shared" si="6"/>
        <v>0</v>
      </c>
      <c r="Y34" s="3"/>
      <c r="Z34" s="7">
        <f t="shared" si="7"/>
        <v>0</v>
      </c>
    </row>
    <row r="35" spans="1:26" s="70" customFormat="1" ht="15" hidden="1" customHeight="1" outlineLevel="2" x14ac:dyDescent="0.25">
      <c r="A35" s="25"/>
      <c r="B35" s="12" t="str">
        <f>CONCATENATE("          ","6004"," - ","STAFF HOURLY")</f>
        <v xml:space="preserve">          6004 - STAFF HOURLY</v>
      </c>
      <c r="C35" s="12"/>
      <c r="D35" s="8">
        <v>3380.1</v>
      </c>
      <c r="E35" s="3"/>
      <c r="F35" s="7">
        <f t="shared" si="0"/>
        <v>8.8073896503204963E-2</v>
      </c>
      <c r="G35" s="3"/>
      <c r="H35" s="8">
        <v>2088</v>
      </c>
      <c r="I35" s="3"/>
      <c r="J35" s="7">
        <f t="shared" si="1"/>
        <v>6.0724152973680383E-2</v>
      </c>
      <c r="K35" s="3"/>
      <c r="L35" s="8">
        <f t="shared" si="2"/>
        <v>1292.0999999999999</v>
      </c>
      <c r="M35" s="3"/>
      <c r="N35" s="7">
        <f t="shared" si="3"/>
        <v>0.61882183908045973</v>
      </c>
      <c r="O35" s="12"/>
      <c r="P35" s="8">
        <v>16702.32</v>
      </c>
      <c r="Q35" s="3"/>
      <c r="R35" s="7">
        <f t="shared" si="4"/>
        <v>3.814621445700582E-2</v>
      </c>
      <c r="S35" s="3"/>
      <c r="T35" s="8">
        <v>24534</v>
      </c>
      <c r="U35" s="3"/>
      <c r="V35" s="7">
        <f t="shared" si="5"/>
        <v>4.3866487391111555E-2</v>
      </c>
      <c r="W35" s="3"/>
      <c r="X35" s="8">
        <f t="shared" si="6"/>
        <v>-7831.68</v>
      </c>
      <c r="Y35" s="3"/>
      <c r="Z35" s="7">
        <f t="shared" si="7"/>
        <v>-0.31921741257031061</v>
      </c>
    </row>
    <row r="36" spans="1:26" s="70" customFormat="1" ht="15" hidden="1" customHeight="1" outlineLevel="2" x14ac:dyDescent="0.25">
      <c r="A36" s="25"/>
      <c r="B36" s="12" t="str">
        <f>CONCATENATE("          ","6005"," - ","TEMPORARY WAGES-HOURLY")</f>
        <v xml:space="preserve">          6005 - TEMPORARY WAGES-HOURLY</v>
      </c>
      <c r="C36" s="12"/>
      <c r="D36" s="8">
        <v>2993.94</v>
      </c>
      <c r="E36" s="3"/>
      <c r="F36" s="7">
        <f t="shared" si="0"/>
        <v>7.8011881807285424E-2</v>
      </c>
      <c r="G36" s="3"/>
      <c r="H36" s="8">
        <v>0</v>
      </c>
      <c r="I36" s="3"/>
      <c r="J36" s="7">
        <f t="shared" si="1"/>
        <v>0</v>
      </c>
      <c r="K36" s="3"/>
      <c r="L36" s="8">
        <f t="shared" si="2"/>
        <v>2993.94</v>
      </c>
      <c r="M36" s="3"/>
      <c r="N36" s="7">
        <f t="shared" si="3"/>
        <v>0</v>
      </c>
      <c r="O36" s="12"/>
      <c r="P36" s="8">
        <v>56889.5</v>
      </c>
      <c r="Q36" s="3"/>
      <c r="R36" s="7">
        <f t="shared" si="4"/>
        <v>0.12992919949754483</v>
      </c>
      <c r="S36" s="3"/>
      <c r="T36" s="8">
        <v>0</v>
      </c>
      <c r="U36" s="3"/>
      <c r="V36" s="7">
        <f t="shared" si="5"/>
        <v>0</v>
      </c>
      <c r="W36" s="3"/>
      <c r="X36" s="8">
        <f t="shared" si="6"/>
        <v>56889.5</v>
      </c>
      <c r="Y36" s="3"/>
      <c r="Z36" s="7">
        <f t="shared" si="7"/>
        <v>0</v>
      </c>
    </row>
    <row r="37" spans="1:26" s="70" customFormat="1" ht="15" hidden="1" customHeight="1" outlineLevel="2" x14ac:dyDescent="0.25">
      <c r="A37" s="25"/>
      <c r="B37" s="12" t="str">
        <f>CONCATENATE("          ","6006"," - ","TEMPORARY PART TIME")</f>
        <v xml:space="preserve">          6006 - TEMPORARY PART TIME</v>
      </c>
      <c r="C37" s="12"/>
      <c r="D37" s="8"/>
      <c r="E37" s="3"/>
      <c r="F37" s="7">
        <f t="shared" si="0"/>
        <v>0</v>
      </c>
      <c r="G37" s="3"/>
      <c r="H37" s="8">
        <v>0</v>
      </c>
      <c r="I37" s="3"/>
      <c r="J37" s="7">
        <f t="shared" si="1"/>
        <v>0</v>
      </c>
      <c r="K37" s="3"/>
      <c r="L37" s="8">
        <f t="shared" si="2"/>
        <v>0</v>
      </c>
      <c r="M37" s="3"/>
      <c r="N37" s="7">
        <f t="shared" si="3"/>
        <v>0</v>
      </c>
      <c r="O37" s="12"/>
      <c r="P37" s="8"/>
      <c r="Q37" s="3"/>
      <c r="R37" s="7">
        <f t="shared" si="4"/>
        <v>0</v>
      </c>
      <c r="S37" s="3"/>
      <c r="T37" s="8">
        <v>0</v>
      </c>
      <c r="U37" s="3"/>
      <c r="V37" s="7">
        <f t="shared" si="5"/>
        <v>0</v>
      </c>
      <c r="W37" s="3"/>
      <c r="X37" s="8">
        <f t="shared" si="6"/>
        <v>0</v>
      </c>
      <c r="Y37" s="3"/>
      <c r="Z37" s="7">
        <f t="shared" si="7"/>
        <v>0</v>
      </c>
    </row>
    <row r="38" spans="1:26" s="70" customFormat="1" ht="15" hidden="1" customHeight="1" outlineLevel="2" x14ac:dyDescent="0.25">
      <c r="A38" s="25"/>
      <c r="B38" s="12" t="str">
        <f>CONCATENATE("          ","6007"," - ","STUDENT HOURLY")</f>
        <v xml:space="preserve">          6007 - STUDENT HOURLY</v>
      </c>
      <c r="C38" s="12"/>
      <c r="D38" s="8">
        <v>4029.23</v>
      </c>
      <c r="E38" s="3"/>
      <c r="F38" s="7">
        <f t="shared" si="0"/>
        <v>0.10498801396633488</v>
      </c>
      <c r="G38" s="3"/>
      <c r="H38" s="8">
        <v>0</v>
      </c>
      <c r="I38" s="3"/>
      <c r="J38" s="7">
        <f t="shared" si="1"/>
        <v>0</v>
      </c>
      <c r="K38" s="3"/>
      <c r="L38" s="8">
        <f t="shared" si="2"/>
        <v>4029.23</v>
      </c>
      <c r="M38" s="3"/>
      <c r="N38" s="7">
        <f t="shared" si="3"/>
        <v>0</v>
      </c>
      <c r="O38" s="12"/>
      <c r="P38" s="8">
        <v>18178.310000000001</v>
      </c>
      <c r="Q38" s="3"/>
      <c r="R38" s="7">
        <f t="shared" si="4"/>
        <v>4.1517209089870964E-2</v>
      </c>
      <c r="S38" s="3"/>
      <c r="T38" s="8">
        <v>25987.5</v>
      </c>
      <c r="U38" s="3"/>
      <c r="V38" s="7">
        <f t="shared" si="5"/>
        <v>4.6465327344766917E-2</v>
      </c>
      <c r="W38" s="3"/>
      <c r="X38" s="8">
        <f t="shared" si="6"/>
        <v>-7809.1899999999987</v>
      </c>
      <c r="Y38" s="3"/>
      <c r="Z38" s="7">
        <f t="shared" si="7"/>
        <v>-0.30049793169793165</v>
      </c>
    </row>
    <row r="39" spans="1:26" s="70" customFormat="1" ht="15" hidden="1" customHeight="1" outlineLevel="2" x14ac:dyDescent="0.25">
      <c r="A39" s="25"/>
      <c r="B39" s="12" t="str">
        <f>CONCATENATE("          ","6008"," - ","STUDENT HOURLY-FICA EXEMPT")</f>
        <v xml:space="preserve">          6008 - STUDENT HOURLY-FICA EXEMPT</v>
      </c>
      <c r="C39" s="12"/>
      <c r="D39" s="8"/>
      <c r="E39" s="3"/>
      <c r="F39" s="7">
        <f t="shared" si="0"/>
        <v>0</v>
      </c>
      <c r="G39" s="3"/>
      <c r="H39" s="8">
        <v>9810</v>
      </c>
      <c r="I39" s="3"/>
      <c r="J39" s="7">
        <f t="shared" si="1"/>
        <v>0.28529882216082592</v>
      </c>
      <c r="K39" s="3"/>
      <c r="L39" s="8">
        <f t="shared" si="2"/>
        <v>-9810</v>
      </c>
      <c r="M39" s="3"/>
      <c r="N39" s="7">
        <f t="shared" si="3"/>
        <v>-1</v>
      </c>
      <c r="O39" s="12"/>
      <c r="P39" s="8">
        <v>164.22</v>
      </c>
      <c r="Q39" s="3"/>
      <c r="R39" s="7">
        <f t="shared" si="4"/>
        <v>3.7505995203836932E-4</v>
      </c>
      <c r="S39" s="3"/>
      <c r="T39" s="8">
        <v>102334.5</v>
      </c>
      <c r="U39" s="3"/>
      <c r="V39" s="7">
        <f t="shared" si="5"/>
        <v>0.1829728154367696</v>
      </c>
      <c r="W39" s="3"/>
      <c r="X39" s="8">
        <f t="shared" si="6"/>
        <v>-102170.28</v>
      </c>
      <c r="Y39" s="3"/>
      <c r="Z39" s="7">
        <f t="shared" si="7"/>
        <v>-0.99839526259472611</v>
      </c>
    </row>
    <row r="40" spans="1:26" s="70" customFormat="1" ht="15" hidden="1" customHeight="1" outlineLevel="2" x14ac:dyDescent="0.25">
      <c r="A40" s="25"/>
      <c r="B40" s="12" t="str">
        <f>CONCATENATE("          ","6009"," - ","TEMPORARY-SEASONAL")</f>
        <v xml:space="preserve">          6009 - TEMPORARY-SEASONAL</v>
      </c>
      <c r="C40" s="12"/>
      <c r="D40" s="8"/>
      <c r="E40" s="3"/>
      <c r="F40" s="7">
        <f t="shared" si="0"/>
        <v>0</v>
      </c>
      <c r="G40" s="3"/>
      <c r="H40" s="8">
        <v>0</v>
      </c>
      <c r="I40" s="3"/>
      <c r="J40" s="7">
        <f t="shared" si="1"/>
        <v>0</v>
      </c>
      <c r="K40" s="3"/>
      <c r="L40" s="8">
        <f t="shared" si="2"/>
        <v>0</v>
      </c>
      <c r="M40" s="3"/>
      <c r="N40" s="7">
        <f t="shared" si="3"/>
        <v>0</v>
      </c>
      <c r="O40" s="12"/>
      <c r="P40" s="8"/>
      <c r="Q40" s="3"/>
      <c r="R40" s="7">
        <f t="shared" si="4"/>
        <v>0</v>
      </c>
      <c r="S40" s="3"/>
      <c r="T40" s="8">
        <v>0</v>
      </c>
      <c r="U40" s="3"/>
      <c r="V40" s="7">
        <f t="shared" si="5"/>
        <v>0</v>
      </c>
      <c r="W40" s="3"/>
      <c r="X40" s="8">
        <f t="shared" si="6"/>
        <v>0</v>
      </c>
      <c r="Y40" s="3"/>
      <c r="Z40" s="7">
        <f t="shared" si="7"/>
        <v>0</v>
      </c>
    </row>
    <row r="41" spans="1:26" s="70" customFormat="1" ht="15" hidden="1" customHeight="1" outlineLevel="2" x14ac:dyDescent="0.25">
      <c r="A41" s="25"/>
      <c r="B41" s="12" t="str">
        <f>CONCATENATE("          ","6010"," - ","GRATUITY")</f>
        <v xml:space="preserve">          6010 - GRATUITY</v>
      </c>
      <c r="C41" s="12"/>
      <c r="D41" s="8"/>
      <c r="E41" s="3"/>
      <c r="F41" s="7">
        <f t="shared" si="0"/>
        <v>0</v>
      </c>
      <c r="G41" s="3"/>
      <c r="H41" s="8">
        <v>0</v>
      </c>
      <c r="I41" s="3"/>
      <c r="J41" s="7">
        <f t="shared" si="1"/>
        <v>0</v>
      </c>
      <c r="K41" s="3"/>
      <c r="L41" s="8">
        <f t="shared" si="2"/>
        <v>0</v>
      </c>
      <c r="M41" s="3"/>
      <c r="N41" s="7">
        <f t="shared" si="3"/>
        <v>0</v>
      </c>
      <c r="O41" s="12"/>
      <c r="P41" s="8"/>
      <c r="Q41" s="3"/>
      <c r="R41" s="7">
        <f t="shared" si="4"/>
        <v>0</v>
      </c>
      <c r="S41" s="3"/>
      <c r="T41" s="8">
        <v>0</v>
      </c>
      <c r="U41" s="3"/>
      <c r="V41" s="7">
        <f t="shared" si="5"/>
        <v>0</v>
      </c>
      <c r="W41" s="3"/>
      <c r="X41" s="8">
        <f t="shared" si="6"/>
        <v>0</v>
      </c>
      <c r="Y41" s="3"/>
      <c r="Z41" s="7">
        <f t="shared" si="7"/>
        <v>0</v>
      </c>
    </row>
    <row r="42" spans="1:26" s="69" customFormat="1" ht="15" customHeight="1" outlineLevel="1" collapsed="1" x14ac:dyDescent="0.25">
      <c r="A42" s="26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100</v>
      </c>
      <c r="I42" s="2"/>
      <c r="J42" s="6">
        <f t="shared" si="1"/>
        <v>2.9082448742184094E-3</v>
      </c>
      <c r="K42" s="2"/>
      <c r="L42" s="2">
        <f t="shared" si="2"/>
        <v>-100</v>
      </c>
      <c r="M42" s="2"/>
      <c r="N42" s="6">
        <f t="shared" si="3"/>
        <v>-1</v>
      </c>
      <c r="O42" s="14"/>
      <c r="P42" s="2">
        <f>SUM(OSRRefP22_2x_0)</f>
        <v>251.18</v>
      </c>
      <c r="Q42" s="2"/>
      <c r="R42" s="6">
        <f t="shared" si="4"/>
        <v>5.7366678086102549E-4</v>
      </c>
      <c r="S42" s="2"/>
      <c r="T42" s="2">
        <f>SUM(OSRRefT22_2x_0)</f>
        <v>1100</v>
      </c>
      <c r="U42" s="2"/>
      <c r="V42" s="6">
        <f t="shared" si="5"/>
        <v>1.9667863426356368E-3</v>
      </c>
      <c r="W42" s="2"/>
      <c r="X42" s="2">
        <f t="shared" si="6"/>
        <v>-848.81999999999994</v>
      </c>
      <c r="Y42" s="2"/>
      <c r="Z42" s="6">
        <f t="shared" si="7"/>
        <v>-0.77165454545454537</v>
      </c>
    </row>
    <row r="43" spans="1:26" s="70" customFormat="1" ht="15" hidden="1" customHeight="1" outlineLevel="2" x14ac:dyDescent="0.25">
      <c r="A43" s="25"/>
      <c r="B43" s="12" t="str">
        <f>CONCATENATE("          ","6362"," - ","ADVERTISING EXPENSE")</f>
        <v xml:space="preserve">          6362 - ADVERTISING EXPENSE</v>
      </c>
      <c r="C43" s="12"/>
      <c r="D43" s="8"/>
      <c r="E43" s="3"/>
      <c r="F43" s="7">
        <f t="shared" si="0"/>
        <v>0</v>
      </c>
      <c r="G43" s="3"/>
      <c r="H43" s="8">
        <v>100</v>
      </c>
      <c r="I43" s="3"/>
      <c r="J43" s="7">
        <f t="shared" si="1"/>
        <v>2.9082448742184094E-3</v>
      </c>
      <c r="K43" s="3"/>
      <c r="L43" s="8">
        <f t="shared" si="2"/>
        <v>-100</v>
      </c>
      <c r="M43" s="3"/>
      <c r="N43" s="7">
        <f t="shared" si="3"/>
        <v>-1</v>
      </c>
      <c r="O43" s="12"/>
      <c r="P43" s="8">
        <v>251.18</v>
      </c>
      <c r="Q43" s="3"/>
      <c r="R43" s="7">
        <f t="shared" si="4"/>
        <v>5.7366678086102549E-4</v>
      </c>
      <c r="S43" s="3"/>
      <c r="T43" s="8">
        <v>1100</v>
      </c>
      <c r="U43" s="3"/>
      <c r="V43" s="7">
        <f t="shared" si="5"/>
        <v>1.9667863426356368E-3</v>
      </c>
      <c r="W43" s="3"/>
      <c r="X43" s="8">
        <f t="shared" si="6"/>
        <v>-848.81999999999994</v>
      </c>
      <c r="Y43" s="3"/>
      <c r="Z43" s="7">
        <f t="shared" si="7"/>
        <v>-0.77165454545454537</v>
      </c>
    </row>
    <row r="44" spans="1:26" s="69" customFormat="1" ht="15" customHeight="1" outlineLevel="1" collapsed="1" x14ac:dyDescent="0.25">
      <c r="A44" s="26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335.24</v>
      </c>
      <c r="E44" s="2"/>
      <c r="F44" s="6">
        <f t="shared" si="0"/>
        <v>8.7352128823805306E-3</v>
      </c>
      <c r="G44" s="2"/>
      <c r="H44" s="2">
        <f>SUM(OSRRefH22_3x_0)</f>
        <v>1250</v>
      </c>
      <c r="I44" s="2"/>
      <c r="J44" s="6">
        <f t="shared" si="1"/>
        <v>3.6353060927730114E-2</v>
      </c>
      <c r="K44" s="2"/>
      <c r="L44" s="2">
        <f t="shared" si="2"/>
        <v>-914.76</v>
      </c>
      <c r="M44" s="2"/>
      <c r="N44" s="6">
        <f t="shared" si="3"/>
        <v>-0.73180800000000001</v>
      </c>
      <c r="O44" s="14"/>
      <c r="P44" s="2">
        <f>SUM(OSRRefP22_3x_0)</f>
        <v>4349.37</v>
      </c>
      <c r="Q44" s="2"/>
      <c r="R44" s="6">
        <f t="shared" si="4"/>
        <v>9.9334703665638919E-3</v>
      </c>
      <c r="S44" s="2"/>
      <c r="T44" s="2">
        <f>SUM(OSRRefT22_3x_0)</f>
        <v>13750</v>
      </c>
      <c r="U44" s="2"/>
      <c r="V44" s="6">
        <f t="shared" si="5"/>
        <v>2.4584829282945458E-2</v>
      </c>
      <c r="W44" s="2"/>
      <c r="X44" s="2">
        <f t="shared" si="6"/>
        <v>-9400.630000000001</v>
      </c>
      <c r="Y44" s="2"/>
      <c r="Z44" s="6">
        <f t="shared" si="7"/>
        <v>-0.68368218181818186</v>
      </c>
    </row>
    <row r="45" spans="1:26" s="70" customFormat="1" ht="15" hidden="1" customHeight="1" outlineLevel="2" x14ac:dyDescent="0.25">
      <c r="A45" s="25"/>
      <c r="B45" s="12" t="str">
        <f>CONCATENATE("          ","6381"," - ","BANK/CREDIT CARD FEES")</f>
        <v xml:space="preserve">          6381 - BANK/CREDIT CARD FEES</v>
      </c>
      <c r="C45" s="12"/>
      <c r="D45" s="8">
        <v>335.24</v>
      </c>
      <c r="E45" s="3"/>
      <c r="F45" s="7">
        <f t="shared" si="0"/>
        <v>8.7352128823805306E-3</v>
      </c>
      <c r="G45" s="3"/>
      <c r="H45" s="8">
        <v>1250</v>
      </c>
      <c r="I45" s="3"/>
      <c r="J45" s="7">
        <f t="shared" si="1"/>
        <v>3.6353060927730114E-2</v>
      </c>
      <c r="K45" s="3"/>
      <c r="L45" s="8">
        <f t="shared" si="2"/>
        <v>-914.76</v>
      </c>
      <c r="M45" s="3"/>
      <c r="N45" s="7">
        <f t="shared" si="3"/>
        <v>-0.73180800000000001</v>
      </c>
      <c r="O45" s="12"/>
      <c r="P45" s="8">
        <v>4349.37</v>
      </c>
      <c r="Q45" s="3"/>
      <c r="R45" s="7">
        <f t="shared" si="4"/>
        <v>9.9334703665638919E-3</v>
      </c>
      <c r="S45" s="3"/>
      <c r="T45" s="8">
        <v>13750</v>
      </c>
      <c r="U45" s="3"/>
      <c r="V45" s="7">
        <f t="shared" si="5"/>
        <v>2.4584829282945458E-2</v>
      </c>
      <c r="W45" s="3"/>
      <c r="X45" s="8">
        <f t="shared" si="6"/>
        <v>-9400.630000000001</v>
      </c>
      <c r="Y45" s="3"/>
      <c r="Z45" s="7">
        <f t="shared" si="7"/>
        <v>-0.68368218181818186</v>
      </c>
    </row>
    <row r="46" spans="1:26" s="69" customFormat="1" ht="15" customHeight="1" outlineLevel="1" collapsed="1" x14ac:dyDescent="0.25">
      <c r="A46" s="26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5.8164897484368184E-4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220</v>
      </c>
      <c r="U46" s="2"/>
      <c r="V46" s="6">
        <f t="shared" si="5"/>
        <v>3.9335726852712734E-4</v>
      </c>
      <c r="W46" s="2"/>
      <c r="X46" s="2">
        <f t="shared" si="6"/>
        <v>-220</v>
      </c>
      <c r="Y46" s="2"/>
      <c r="Z46" s="6">
        <f t="shared" si="7"/>
        <v>-1</v>
      </c>
    </row>
    <row r="47" spans="1:26" s="70" customFormat="1" ht="15" hidden="1" customHeight="1" outlineLevel="2" x14ac:dyDescent="0.25">
      <c r="A47" s="25"/>
      <c r="B47" s="12" t="str">
        <f>CONCATENATE("          ","6277"," - ","EMPLOYEE APPRECIATION")</f>
        <v xml:space="preserve">          6277 - EMPLOYEE APPRECIATION</v>
      </c>
      <c r="C47" s="12"/>
      <c r="D47" s="8"/>
      <c r="E47" s="3"/>
      <c r="F47" s="7">
        <f t="shared" si="0"/>
        <v>0</v>
      </c>
      <c r="G47" s="3"/>
      <c r="H47" s="8">
        <v>20</v>
      </c>
      <c r="I47" s="3"/>
      <c r="J47" s="7">
        <f t="shared" si="1"/>
        <v>5.8164897484368184E-4</v>
      </c>
      <c r="K47" s="3"/>
      <c r="L47" s="8">
        <f t="shared" si="2"/>
        <v>-20</v>
      </c>
      <c r="M47" s="3"/>
      <c r="N47" s="7">
        <f t="shared" si="3"/>
        <v>-1</v>
      </c>
      <c r="O47" s="12"/>
      <c r="P47" s="8"/>
      <c r="Q47" s="3"/>
      <c r="R47" s="7">
        <f t="shared" si="4"/>
        <v>0</v>
      </c>
      <c r="S47" s="3"/>
      <c r="T47" s="8">
        <v>220</v>
      </c>
      <c r="U47" s="3"/>
      <c r="V47" s="7">
        <f t="shared" si="5"/>
        <v>3.9335726852712734E-4</v>
      </c>
      <c r="W47" s="3"/>
      <c r="X47" s="8">
        <f t="shared" si="6"/>
        <v>-220</v>
      </c>
      <c r="Y47" s="3"/>
      <c r="Z47" s="7">
        <f t="shared" si="7"/>
        <v>-1</v>
      </c>
    </row>
    <row r="48" spans="1:26" s="69" customFormat="1" ht="15" customHeight="1" outlineLevel="1" collapsed="1" x14ac:dyDescent="0.25">
      <c r="A48" s="26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2.9082448742184092E-4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1.4160100491035743E-6</v>
      </c>
      <c r="S48" s="2"/>
      <c r="T48" s="2">
        <f>SUM(OSRRefT22_5x_0)</f>
        <v>110</v>
      </c>
      <c r="U48" s="2"/>
      <c r="V48" s="6">
        <f t="shared" si="5"/>
        <v>1.9667863426356367E-4</v>
      </c>
      <c r="W48" s="2"/>
      <c r="X48" s="2">
        <f t="shared" si="6"/>
        <v>-109.38</v>
      </c>
      <c r="Y48" s="2"/>
      <c r="Z48" s="6">
        <f t="shared" si="7"/>
        <v>-0.99436363636363634</v>
      </c>
    </row>
    <row r="49" spans="1:26" s="70" customFormat="1" ht="15" hidden="1" customHeight="1" outlineLevel="2" x14ac:dyDescent="0.25">
      <c r="A49" s="25"/>
      <c r="B49" s="12" t="str">
        <f>CONCATENATE("          ","6305"," - ","FREIGHT OUT")</f>
        <v xml:space="preserve">          6305 - FREIGHT OUT</v>
      </c>
      <c r="C49" s="12"/>
      <c r="D49" s="8"/>
      <c r="E49" s="3"/>
      <c r="F49" s="7">
        <f t="shared" si="0"/>
        <v>0</v>
      </c>
      <c r="G49" s="3"/>
      <c r="H49" s="8"/>
      <c r="I49" s="3"/>
      <c r="J49" s="7">
        <f t="shared" si="1"/>
        <v>0</v>
      </c>
      <c r="K49" s="3"/>
      <c r="L49" s="8">
        <f t="shared" si="2"/>
        <v>0</v>
      </c>
      <c r="M49" s="3"/>
      <c r="N49" s="7">
        <f t="shared" si="3"/>
        <v>0</v>
      </c>
      <c r="O49" s="12"/>
      <c r="P49" s="8">
        <v>0.62</v>
      </c>
      <c r="Q49" s="3"/>
      <c r="R49" s="7">
        <f t="shared" si="4"/>
        <v>1.4160100491035743E-6</v>
      </c>
      <c r="S49" s="3"/>
      <c r="T49" s="8"/>
      <c r="U49" s="3"/>
      <c r="V49" s="7">
        <f t="shared" si="5"/>
        <v>0</v>
      </c>
      <c r="W49" s="3"/>
      <c r="X49" s="8">
        <f t="shared" si="6"/>
        <v>0.62</v>
      </c>
      <c r="Y49" s="3"/>
      <c r="Z49" s="7">
        <f t="shared" si="7"/>
        <v>0</v>
      </c>
    </row>
    <row r="50" spans="1:26" s="70" customFormat="1" ht="15" hidden="1" customHeight="1" outlineLevel="2" x14ac:dyDescent="0.25">
      <c r="A50" s="25"/>
      <c r="B50" s="12" t="str">
        <f>CONCATENATE("          ","6307"," - ","POSTAGE")</f>
        <v xml:space="preserve">          6307 - POSTAGE</v>
      </c>
      <c r="C50" s="12"/>
      <c r="D50" s="8"/>
      <c r="E50" s="3"/>
      <c r="F50" s="7">
        <f t="shared" si="0"/>
        <v>0</v>
      </c>
      <c r="G50" s="3"/>
      <c r="H50" s="8">
        <v>10</v>
      </c>
      <c r="I50" s="3"/>
      <c r="J50" s="7">
        <f t="shared" si="1"/>
        <v>2.9082448742184092E-4</v>
      </c>
      <c r="K50" s="3"/>
      <c r="L50" s="8">
        <f t="shared" si="2"/>
        <v>-10</v>
      </c>
      <c r="M50" s="3"/>
      <c r="N50" s="7">
        <f t="shared" si="3"/>
        <v>-1</v>
      </c>
      <c r="O50" s="12"/>
      <c r="P50" s="8"/>
      <c r="Q50" s="3"/>
      <c r="R50" s="7">
        <f t="shared" si="4"/>
        <v>0</v>
      </c>
      <c r="S50" s="3"/>
      <c r="T50" s="8">
        <v>110</v>
      </c>
      <c r="U50" s="3"/>
      <c r="V50" s="7">
        <f t="shared" si="5"/>
        <v>1.9667863426356367E-4</v>
      </c>
      <c r="W50" s="3"/>
      <c r="X50" s="8">
        <f t="shared" si="6"/>
        <v>-110</v>
      </c>
      <c r="Y50" s="3"/>
      <c r="Z50" s="7">
        <f t="shared" si="7"/>
        <v>-1</v>
      </c>
    </row>
    <row r="51" spans="1:26" s="69" customFormat="1" ht="15" customHeight="1" outlineLevel="1" collapsed="1" x14ac:dyDescent="0.25">
      <c r="A51" s="26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1.4541224371092047E-3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550</v>
      </c>
      <c r="U51" s="2"/>
      <c r="V51" s="6">
        <f t="shared" ref="V51:V70" si="13">IF(T$12=0,0,T51/T$12)</f>
        <v>9.8339317131781838E-4</v>
      </c>
      <c r="W51" s="2"/>
      <c r="X51" s="2">
        <f t="shared" ref="X51:X70" si="14">+P51-T51</f>
        <v>-550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25">
      <c r="A52" s="25"/>
      <c r="B52" s="12" t="str">
        <f>CONCATENATE("          ","6279"," - ","GENERAL EXPENSE")</f>
        <v xml:space="preserve">          6279 - GENERAL EXPENSE</v>
      </c>
      <c r="C52" s="12"/>
      <c r="D52" s="8"/>
      <c r="E52" s="3"/>
      <c r="F52" s="7">
        <f t="shared" si="8"/>
        <v>0</v>
      </c>
      <c r="G52" s="3"/>
      <c r="H52" s="8">
        <v>50</v>
      </c>
      <c r="I52" s="3"/>
      <c r="J52" s="7">
        <f t="shared" si="9"/>
        <v>1.4541224371092047E-3</v>
      </c>
      <c r="K52" s="3"/>
      <c r="L52" s="8">
        <f t="shared" si="10"/>
        <v>-50</v>
      </c>
      <c r="M52" s="3"/>
      <c r="N52" s="7">
        <f t="shared" si="11"/>
        <v>-1</v>
      </c>
      <c r="O52" s="12"/>
      <c r="P52" s="8"/>
      <c r="Q52" s="3"/>
      <c r="R52" s="7">
        <f t="shared" si="12"/>
        <v>0</v>
      </c>
      <c r="S52" s="3"/>
      <c r="T52" s="8">
        <v>550</v>
      </c>
      <c r="U52" s="3"/>
      <c r="V52" s="7">
        <f t="shared" si="13"/>
        <v>9.8339317131781838E-4</v>
      </c>
      <c r="W52" s="3"/>
      <c r="X52" s="8">
        <f t="shared" si="14"/>
        <v>-550</v>
      </c>
      <c r="Y52" s="3"/>
      <c r="Z52" s="7">
        <f t="shared" si="15"/>
        <v>-1</v>
      </c>
    </row>
    <row r="53" spans="1:26" s="69" customFormat="1" ht="15" customHeight="1" outlineLevel="1" collapsed="1" x14ac:dyDescent="0.25">
      <c r="A53" s="26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1.0274115378602325E-3</v>
      </c>
      <c r="G53" s="2"/>
      <c r="H53" s="2">
        <f>SUM(OSRRefH22_7x_0)</f>
        <v>40</v>
      </c>
      <c r="I53" s="2"/>
      <c r="J53" s="6">
        <f t="shared" si="9"/>
        <v>1.1632979496873637E-3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433.73</v>
      </c>
      <c r="Q53" s="2"/>
      <c r="R53" s="6">
        <f t="shared" si="12"/>
        <v>9.9059038483498914E-4</v>
      </c>
      <c r="S53" s="2"/>
      <c r="T53" s="2">
        <f>SUM(OSRRefT22_7x_0)</f>
        <v>440</v>
      </c>
      <c r="U53" s="2"/>
      <c r="V53" s="6">
        <f t="shared" si="13"/>
        <v>7.8671453705425468E-4</v>
      </c>
      <c r="W53" s="2"/>
      <c r="X53" s="2">
        <f t="shared" si="14"/>
        <v>-6.2699999999999818</v>
      </c>
      <c r="Y53" s="2"/>
      <c r="Z53" s="6">
        <f t="shared" si="15"/>
        <v>-1.4249999999999959E-2</v>
      </c>
    </row>
    <row r="54" spans="1:26" s="70" customFormat="1" ht="15" hidden="1" customHeight="1" outlineLevel="2" x14ac:dyDescent="0.25">
      <c r="A54" s="25"/>
      <c r="B54" s="12" t="str">
        <f>CONCATENATE("          ","6314"," - ","LIABILITY INSURANCE")</f>
        <v xml:space="preserve">          6314 - LIABILITY INSURANCE</v>
      </c>
      <c r="C54" s="12"/>
      <c r="D54" s="8">
        <v>39.43</v>
      </c>
      <c r="E54" s="3"/>
      <c r="F54" s="7">
        <f t="shared" si="8"/>
        <v>1.0274115378602325E-3</v>
      </c>
      <c r="G54" s="3"/>
      <c r="H54" s="8">
        <v>40</v>
      </c>
      <c r="I54" s="3"/>
      <c r="J54" s="7">
        <f t="shared" si="9"/>
        <v>1.1632979496873637E-3</v>
      </c>
      <c r="K54" s="3"/>
      <c r="L54" s="8">
        <f t="shared" si="10"/>
        <v>-0.57000000000000028</v>
      </c>
      <c r="M54" s="3"/>
      <c r="N54" s="7">
        <f t="shared" si="11"/>
        <v>-1.4250000000000007E-2</v>
      </c>
      <c r="O54" s="12"/>
      <c r="P54" s="8">
        <v>433.73</v>
      </c>
      <c r="Q54" s="3"/>
      <c r="R54" s="7">
        <f t="shared" si="12"/>
        <v>9.9059038483498914E-4</v>
      </c>
      <c r="S54" s="3"/>
      <c r="T54" s="8">
        <v>440</v>
      </c>
      <c r="U54" s="3"/>
      <c r="V54" s="7">
        <f t="shared" si="13"/>
        <v>7.8671453705425468E-4</v>
      </c>
      <c r="W54" s="3"/>
      <c r="X54" s="8">
        <f t="shared" si="14"/>
        <v>-6.2699999999999818</v>
      </c>
      <c r="Y54" s="3"/>
      <c r="Z54" s="7">
        <f t="shared" si="15"/>
        <v>-1.4249999999999959E-2</v>
      </c>
    </row>
    <row r="55" spans="1:26" s="69" customFormat="1" ht="15" customHeight="1" outlineLevel="1" collapsed="1" x14ac:dyDescent="0.25">
      <c r="A55" s="26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2.0845275939340248E-2</v>
      </c>
      <c r="G55" s="2"/>
      <c r="H55" s="2">
        <f>SUM(OSRRefH22_8x_0)</f>
        <v>800</v>
      </c>
      <c r="I55" s="2"/>
      <c r="J55" s="6">
        <f t="shared" si="9"/>
        <v>2.3265958993747275E-2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8800</v>
      </c>
      <c r="Q55" s="2"/>
      <c r="R55" s="6">
        <f t="shared" si="12"/>
        <v>2.009820714856686E-2</v>
      </c>
      <c r="S55" s="2"/>
      <c r="T55" s="2">
        <f>SUM(OSRRefT22_8x_0)</f>
        <v>8800</v>
      </c>
      <c r="U55" s="2"/>
      <c r="V55" s="6">
        <f t="shared" si="13"/>
        <v>1.5734290741085094E-2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25">
      <c r="A56" s="25"/>
      <c r="B56" s="12" t="str">
        <f>CONCATENATE("          ","6273"," - ","RENT")</f>
        <v xml:space="preserve">          6273 - RENT</v>
      </c>
      <c r="C56" s="12"/>
      <c r="D56" s="8">
        <v>800</v>
      </c>
      <c r="E56" s="3"/>
      <c r="F56" s="7">
        <f t="shared" si="8"/>
        <v>2.0845275939340248E-2</v>
      </c>
      <c r="G56" s="3"/>
      <c r="H56" s="8">
        <v>800</v>
      </c>
      <c r="I56" s="3"/>
      <c r="J56" s="7">
        <f t="shared" si="9"/>
        <v>2.3265958993747275E-2</v>
      </c>
      <c r="K56" s="3"/>
      <c r="L56" s="8">
        <f t="shared" si="10"/>
        <v>0</v>
      </c>
      <c r="M56" s="3"/>
      <c r="N56" s="7">
        <f t="shared" si="11"/>
        <v>0</v>
      </c>
      <c r="O56" s="12"/>
      <c r="P56" s="8">
        <v>8800</v>
      </c>
      <c r="Q56" s="3"/>
      <c r="R56" s="7">
        <f t="shared" si="12"/>
        <v>2.009820714856686E-2</v>
      </c>
      <c r="S56" s="3"/>
      <c r="T56" s="8">
        <v>8800</v>
      </c>
      <c r="U56" s="3"/>
      <c r="V56" s="7">
        <f t="shared" si="13"/>
        <v>1.5734290741085094E-2</v>
      </c>
      <c r="W56" s="3"/>
      <c r="X56" s="8">
        <f t="shared" si="14"/>
        <v>0</v>
      </c>
      <c r="Y56" s="3"/>
      <c r="Z56" s="7">
        <f t="shared" si="15"/>
        <v>0</v>
      </c>
    </row>
    <row r="57" spans="1:26" s="69" customFormat="1" ht="15" customHeight="1" outlineLevel="1" collapsed="1" x14ac:dyDescent="0.25">
      <c r="A57" s="26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0</v>
      </c>
      <c r="E57" s="2"/>
      <c r="F57" s="6">
        <f t="shared" si="8"/>
        <v>0</v>
      </c>
      <c r="G57" s="2"/>
      <c r="H57" s="2">
        <f>SUM(OSRRefH22_9x_0)</f>
        <v>3200</v>
      </c>
      <c r="I57" s="2"/>
      <c r="J57" s="6">
        <f t="shared" si="9"/>
        <v>9.3063835974989101E-2</v>
      </c>
      <c r="K57" s="2"/>
      <c r="L57" s="2">
        <f t="shared" si="10"/>
        <v>-3200</v>
      </c>
      <c r="M57" s="2"/>
      <c r="N57" s="6">
        <f t="shared" si="11"/>
        <v>-1</v>
      </c>
      <c r="O57" s="14"/>
      <c r="P57" s="2">
        <f>SUM(OSRRefP22_9x_0)</f>
        <v>131139.97</v>
      </c>
      <c r="Q57" s="2"/>
      <c r="R57" s="6">
        <f t="shared" si="12"/>
        <v>0.2995088957405504</v>
      </c>
      <c r="S57" s="2"/>
      <c r="T57" s="2">
        <f>SUM(OSRRefT22_9x_0)</f>
        <v>160200</v>
      </c>
      <c r="U57" s="2"/>
      <c r="V57" s="6">
        <f t="shared" si="13"/>
        <v>0.28643561099111725</v>
      </c>
      <c r="W57" s="2"/>
      <c r="X57" s="2">
        <f t="shared" si="14"/>
        <v>-29060.03</v>
      </c>
      <c r="Y57" s="2"/>
      <c r="Z57" s="6">
        <f t="shared" si="15"/>
        <v>-0.18139843945068662</v>
      </c>
    </row>
    <row r="58" spans="1:26" s="70" customFormat="1" ht="15" hidden="1" customHeight="1" outlineLevel="2" x14ac:dyDescent="0.25">
      <c r="A58" s="25"/>
      <c r="B58" s="12" t="str">
        <f>CONCATENATE("          ","6371"," - ","COMPUTER SOFTWARE MAINTENANCE")</f>
        <v xml:space="preserve">          6371 - COMPUTER SOFTWARE MAINTENANCE</v>
      </c>
      <c r="C58" s="12"/>
      <c r="D58" s="8"/>
      <c r="E58" s="3"/>
      <c r="F58" s="7">
        <f t="shared" si="8"/>
        <v>0</v>
      </c>
      <c r="G58" s="3"/>
      <c r="H58" s="8"/>
      <c r="I58" s="3"/>
      <c r="J58" s="7">
        <f t="shared" si="9"/>
        <v>0</v>
      </c>
      <c r="K58" s="3"/>
      <c r="L58" s="8">
        <f t="shared" si="10"/>
        <v>0</v>
      </c>
      <c r="M58" s="3"/>
      <c r="N58" s="7">
        <f t="shared" si="11"/>
        <v>0</v>
      </c>
      <c r="O58" s="12"/>
      <c r="P58" s="8">
        <v>7583.7</v>
      </c>
      <c r="Q58" s="3"/>
      <c r="R58" s="7">
        <f t="shared" si="12"/>
        <v>1.7320315176430283E-2</v>
      </c>
      <c r="S58" s="3"/>
      <c r="T58" s="8">
        <v>125000</v>
      </c>
      <c r="U58" s="3"/>
      <c r="V58" s="7">
        <f t="shared" si="13"/>
        <v>0.2234984480267769</v>
      </c>
      <c r="W58" s="3"/>
      <c r="X58" s="8">
        <f t="shared" si="14"/>
        <v>-117416.3</v>
      </c>
      <c r="Y58" s="3"/>
      <c r="Z58" s="7">
        <f t="shared" si="15"/>
        <v>-0.93933040000000001</v>
      </c>
    </row>
    <row r="59" spans="1:26" s="70" customFormat="1" ht="15" hidden="1" customHeight="1" outlineLevel="2" x14ac:dyDescent="0.25">
      <c r="A59" s="25"/>
      <c r="B59" s="12" t="str">
        <f>CONCATENATE("          ","6372"," - ","COMPUTER HARDWARE MAINTENANCE")</f>
        <v xml:space="preserve">          6372 - COMPUTER HARDWARE MAINTENANCE</v>
      </c>
      <c r="C59" s="12"/>
      <c r="D59" s="8"/>
      <c r="E59" s="3"/>
      <c r="F59" s="7">
        <f t="shared" si="8"/>
        <v>0</v>
      </c>
      <c r="G59" s="3"/>
      <c r="H59" s="8">
        <v>3200</v>
      </c>
      <c r="I59" s="3"/>
      <c r="J59" s="7">
        <f t="shared" si="9"/>
        <v>9.3063835974989101E-2</v>
      </c>
      <c r="K59" s="3"/>
      <c r="L59" s="8">
        <f t="shared" si="10"/>
        <v>-3200</v>
      </c>
      <c r="M59" s="3"/>
      <c r="N59" s="7">
        <f t="shared" si="11"/>
        <v>-1</v>
      </c>
      <c r="O59" s="12"/>
      <c r="P59" s="8">
        <v>1555.65</v>
      </c>
      <c r="Q59" s="3"/>
      <c r="R59" s="7">
        <f t="shared" si="12"/>
        <v>3.5529290853031862E-3</v>
      </c>
      <c r="S59" s="3"/>
      <c r="T59" s="8">
        <v>35200</v>
      </c>
      <c r="U59" s="3"/>
      <c r="V59" s="7">
        <f t="shared" si="13"/>
        <v>6.2937162964340376E-2</v>
      </c>
      <c r="W59" s="3"/>
      <c r="X59" s="8">
        <f t="shared" si="14"/>
        <v>-33644.35</v>
      </c>
      <c r="Y59" s="3"/>
      <c r="Z59" s="7">
        <f t="shared" si="15"/>
        <v>-0.95580539772727269</v>
      </c>
    </row>
    <row r="60" spans="1:26" s="70" customFormat="1" ht="15" hidden="1" customHeight="1" outlineLevel="2" x14ac:dyDescent="0.25">
      <c r="A60" s="25"/>
      <c r="B60" s="12" t="str">
        <f>CONCATENATE("          ","6373"," - ","MAINTENANCE CONTRACTS")</f>
        <v xml:space="preserve">          6373 - MAINTENANCE CONTRACTS</v>
      </c>
      <c r="C60" s="12"/>
      <c r="D60" s="8"/>
      <c r="E60" s="3"/>
      <c r="F60" s="7">
        <f t="shared" si="8"/>
        <v>0</v>
      </c>
      <c r="G60" s="3"/>
      <c r="H60" s="8"/>
      <c r="I60" s="3"/>
      <c r="J60" s="7">
        <f t="shared" si="9"/>
        <v>0</v>
      </c>
      <c r="K60" s="3"/>
      <c r="L60" s="8">
        <f t="shared" si="10"/>
        <v>0</v>
      </c>
      <c r="M60" s="3"/>
      <c r="N60" s="7">
        <f t="shared" si="11"/>
        <v>0</v>
      </c>
      <c r="O60" s="12"/>
      <c r="P60" s="8">
        <v>122000.62</v>
      </c>
      <c r="Q60" s="3"/>
      <c r="R60" s="7">
        <f t="shared" si="12"/>
        <v>0.27863565147881691</v>
      </c>
      <c r="S60" s="3"/>
      <c r="T60" s="8"/>
      <c r="U60" s="3"/>
      <c r="V60" s="7">
        <f t="shared" si="13"/>
        <v>0</v>
      </c>
      <c r="W60" s="3"/>
      <c r="X60" s="8">
        <f t="shared" si="14"/>
        <v>122000.62</v>
      </c>
      <c r="Y60" s="3"/>
      <c r="Z60" s="7">
        <f t="shared" si="15"/>
        <v>0</v>
      </c>
    </row>
    <row r="61" spans="1:26" s="69" customFormat="1" ht="15" customHeight="1" outlineLevel="1" collapsed="1" x14ac:dyDescent="0.25">
      <c r="A61" s="26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935</v>
      </c>
      <c r="E61" s="2"/>
      <c r="F61" s="6">
        <f t="shared" si="8"/>
        <v>2.4362916254103913E-2</v>
      </c>
      <c r="G61" s="2"/>
      <c r="H61" s="2">
        <f>SUM(OSRRefH22_10x_0)</f>
        <v>85</v>
      </c>
      <c r="I61" s="2"/>
      <c r="J61" s="6">
        <f t="shared" si="9"/>
        <v>2.4720081430856479E-3</v>
      </c>
      <c r="K61" s="2"/>
      <c r="L61" s="2">
        <f t="shared" si="10"/>
        <v>850</v>
      </c>
      <c r="M61" s="2"/>
      <c r="N61" s="6">
        <f t="shared" si="11"/>
        <v>10</v>
      </c>
      <c r="O61" s="14"/>
      <c r="P61" s="2">
        <f>SUM(OSRRefP22_10x_0)</f>
        <v>935</v>
      </c>
      <c r="Q61" s="2"/>
      <c r="R61" s="6">
        <f t="shared" si="12"/>
        <v>2.135434509535229E-3</v>
      </c>
      <c r="S61" s="2"/>
      <c r="T61" s="2">
        <f>SUM(OSRRefT22_10x_0)</f>
        <v>935</v>
      </c>
      <c r="U61" s="2"/>
      <c r="V61" s="6">
        <f t="shared" si="13"/>
        <v>1.6717683912402912E-3</v>
      </c>
      <c r="W61" s="2"/>
      <c r="X61" s="2">
        <f t="shared" si="14"/>
        <v>0</v>
      </c>
      <c r="Y61" s="2"/>
      <c r="Z61" s="6">
        <f t="shared" si="15"/>
        <v>0</v>
      </c>
    </row>
    <row r="62" spans="1:26" s="70" customFormat="1" ht="15" hidden="1" customHeight="1" outlineLevel="2" x14ac:dyDescent="0.25">
      <c r="A62" s="25"/>
      <c r="B62" s="12" t="str">
        <f>CONCATENATE("          ","6258"," - ","MEMBERSHIP DUES")</f>
        <v xml:space="preserve">          6258 - MEMBERSHIP DUES</v>
      </c>
      <c r="C62" s="12"/>
      <c r="D62" s="8">
        <v>935</v>
      </c>
      <c r="E62" s="3"/>
      <c r="F62" s="7">
        <f t="shared" si="8"/>
        <v>2.4362916254103913E-2</v>
      </c>
      <c r="G62" s="3"/>
      <c r="H62" s="8">
        <v>85</v>
      </c>
      <c r="I62" s="3"/>
      <c r="J62" s="7">
        <f t="shared" si="9"/>
        <v>2.4720081430856479E-3</v>
      </c>
      <c r="K62" s="3"/>
      <c r="L62" s="8">
        <f t="shared" si="10"/>
        <v>850</v>
      </c>
      <c r="M62" s="3"/>
      <c r="N62" s="7">
        <f t="shared" si="11"/>
        <v>10</v>
      </c>
      <c r="O62" s="12"/>
      <c r="P62" s="8">
        <v>935</v>
      </c>
      <c r="Q62" s="3"/>
      <c r="R62" s="7">
        <f t="shared" si="12"/>
        <v>2.135434509535229E-3</v>
      </c>
      <c r="S62" s="3"/>
      <c r="T62" s="8">
        <v>935</v>
      </c>
      <c r="U62" s="3"/>
      <c r="V62" s="7">
        <f t="shared" si="13"/>
        <v>1.6717683912402912E-3</v>
      </c>
      <c r="W62" s="3"/>
      <c r="X62" s="8">
        <f t="shared" si="14"/>
        <v>0</v>
      </c>
      <c r="Y62" s="3"/>
      <c r="Z62" s="7">
        <f t="shared" si="15"/>
        <v>0</v>
      </c>
    </row>
    <row r="63" spans="1:26" s="69" customFormat="1" ht="15" customHeight="1" outlineLevel="1" collapsed="1" x14ac:dyDescent="0.25">
      <c r="A63" s="26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16751.38</v>
      </c>
      <c r="E63" s="2"/>
      <c r="F63" s="6">
        <f t="shared" si="8"/>
        <v>0.43648392308093181</v>
      </c>
      <c r="G63" s="2"/>
      <c r="H63" s="2">
        <f>SUM(OSRRefH22_11x_0)</f>
        <v>5800</v>
      </c>
      <c r="I63" s="2"/>
      <c r="J63" s="6">
        <f t="shared" si="9"/>
        <v>0.16867820270466774</v>
      </c>
      <c r="K63" s="2"/>
      <c r="L63" s="2">
        <f t="shared" si="10"/>
        <v>10951.380000000001</v>
      </c>
      <c r="M63" s="2"/>
      <c r="N63" s="6">
        <f t="shared" si="11"/>
        <v>1.8881689655172416</v>
      </c>
      <c r="O63" s="14"/>
      <c r="P63" s="2">
        <f>SUM(OSRRefP22_11x_0)</f>
        <v>46366.909999999996</v>
      </c>
      <c r="Q63" s="2"/>
      <c r="R63" s="6">
        <f t="shared" si="12"/>
        <v>0.10589679113851774</v>
      </c>
      <c r="S63" s="2"/>
      <c r="T63" s="2">
        <f>SUM(OSRRefT22_11x_0)</f>
        <v>63800</v>
      </c>
      <c r="U63" s="2"/>
      <c r="V63" s="6">
        <f t="shared" si="13"/>
        <v>0.11407360787286693</v>
      </c>
      <c r="W63" s="2"/>
      <c r="X63" s="2">
        <f t="shared" si="14"/>
        <v>-17433.090000000004</v>
      </c>
      <c r="Y63" s="2"/>
      <c r="Z63" s="6">
        <f t="shared" si="15"/>
        <v>-0.27324592476489035</v>
      </c>
    </row>
    <row r="64" spans="1:26" s="70" customFormat="1" ht="15" hidden="1" customHeight="1" outlineLevel="2" x14ac:dyDescent="0.25">
      <c r="A64" s="25"/>
      <c r="B64" s="12" t="str">
        <f>CONCATENATE("          ","6234"," - ","EXPENDABLE SUPPLIES &amp; EQUIPMEN")</f>
        <v xml:space="preserve">          6234 - EXPENDABLE SUPPLIES &amp; EQUIPMEN</v>
      </c>
      <c r="C64" s="12"/>
      <c r="D64" s="8"/>
      <c r="E64" s="3"/>
      <c r="F64" s="7">
        <f t="shared" si="8"/>
        <v>0</v>
      </c>
      <c r="G64" s="3"/>
      <c r="H64" s="8">
        <v>5800</v>
      </c>
      <c r="I64" s="3"/>
      <c r="J64" s="7">
        <f t="shared" si="9"/>
        <v>0.16867820270466774</v>
      </c>
      <c r="K64" s="3"/>
      <c r="L64" s="8">
        <f t="shared" si="10"/>
        <v>-5800</v>
      </c>
      <c r="M64" s="3"/>
      <c r="N64" s="7">
        <f t="shared" si="11"/>
        <v>-1</v>
      </c>
      <c r="O64" s="12"/>
      <c r="P64" s="8"/>
      <c r="Q64" s="3"/>
      <c r="R64" s="7">
        <f t="shared" si="12"/>
        <v>0</v>
      </c>
      <c r="S64" s="3"/>
      <c r="T64" s="8">
        <v>63800</v>
      </c>
      <c r="U64" s="3"/>
      <c r="V64" s="7">
        <f t="shared" si="13"/>
        <v>0.11407360787286693</v>
      </c>
      <c r="W64" s="3"/>
      <c r="X64" s="8">
        <f t="shared" si="14"/>
        <v>-63800</v>
      </c>
      <c r="Y64" s="3"/>
      <c r="Z64" s="7">
        <f t="shared" si="15"/>
        <v>-1</v>
      </c>
    </row>
    <row r="65" spans="1:26" s="70" customFormat="1" ht="15" hidden="1" customHeight="1" outlineLevel="2" x14ac:dyDescent="0.25">
      <c r="A65" s="25"/>
      <c r="B65" s="12" t="str">
        <f>CONCATENATE("          ","6241"," - ","OFFICE EXPENSE")</f>
        <v xml:space="preserve">          6241 - OFFICE EXPENSE</v>
      </c>
      <c r="C65" s="12"/>
      <c r="D65" s="8">
        <v>16751.38</v>
      </c>
      <c r="E65" s="3"/>
      <c r="F65" s="7">
        <f t="shared" si="8"/>
        <v>0.43648392308093181</v>
      </c>
      <c r="G65" s="3"/>
      <c r="H65" s="8"/>
      <c r="I65" s="3"/>
      <c r="J65" s="7">
        <f t="shared" si="9"/>
        <v>0</v>
      </c>
      <c r="K65" s="3"/>
      <c r="L65" s="8">
        <f t="shared" si="10"/>
        <v>16751.38</v>
      </c>
      <c r="M65" s="3"/>
      <c r="N65" s="7">
        <f t="shared" si="11"/>
        <v>0</v>
      </c>
      <c r="O65" s="12"/>
      <c r="P65" s="8">
        <v>46341.56</v>
      </c>
      <c r="Q65" s="3"/>
      <c r="R65" s="7">
        <f t="shared" si="12"/>
        <v>0.10583889459860682</v>
      </c>
      <c r="S65" s="3"/>
      <c r="T65" s="8"/>
      <c r="U65" s="3"/>
      <c r="V65" s="7">
        <f t="shared" si="13"/>
        <v>0</v>
      </c>
      <c r="W65" s="3"/>
      <c r="X65" s="8">
        <f t="shared" si="14"/>
        <v>46341.56</v>
      </c>
      <c r="Y65" s="3"/>
      <c r="Z65" s="7">
        <f t="shared" si="15"/>
        <v>0</v>
      </c>
    </row>
    <row r="66" spans="1:26" s="70" customFormat="1" ht="15" hidden="1" customHeight="1" outlineLevel="2" x14ac:dyDescent="0.25">
      <c r="A66" s="25"/>
      <c r="B66" s="12" t="str">
        <f>CONCATENATE("          ","6247"," - ","STORE SUPPLIES")</f>
        <v xml:space="preserve">          6247 - STORE SUPPLIES</v>
      </c>
      <c r="C66" s="12"/>
      <c r="D66" s="8"/>
      <c r="E66" s="3"/>
      <c r="F66" s="7">
        <f t="shared" si="8"/>
        <v>0</v>
      </c>
      <c r="G66" s="3"/>
      <c r="H66" s="8"/>
      <c r="I66" s="3"/>
      <c r="J66" s="7">
        <f t="shared" si="9"/>
        <v>0</v>
      </c>
      <c r="K66" s="3"/>
      <c r="L66" s="8">
        <f t="shared" si="10"/>
        <v>0</v>
      </c>
      <c r="M66" s="3"/>
      <c r="N66" s="7">
        <f t="shared" si="11"/>
        <v>0</v>
      </c>
      <c r="O66" s="12"/>
      <c r="P66" s="8">
        <v>25.35</v>
      </c>
      <c r="Q66" s="3"/>
      <c r="R66" s="7">
        <f t="shared" si="12"/>
        <v>5.78965399109284E-5</v>
      </c>
      <c r="S66" s="3"/>
      <c r="T66" s="8"/>
      <c r="U66" s="3"/>
      <c r="V66" s="7">
        <f t="shared" si="13"/>
        <v>0</v>
      </c>
      <c r="W66" s="3"/>
      <c r="X66" s="8">
        <f t="shared" si="14"/>
        <v>25.35</v>
      </c>
      <c r="Y66" s="3"/>
      <c r="Z66" s="7">
        <f t="shared" si="15"/>
        <v>0</v>
      </c>
    </row>
    <row r="67" spans="1:26" s="69" customFormat="1" ht="15" customHeight="1" outlineLevel="1" collapsed="1" x14ac:dyDescent="0.25">
      <c r="A67" s="26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40.799999999999997</v>
      </c>
      <c r="E67" s="2"/>
      <c r="F67" s="6">
        <f t="shared" si="8"/>
        <v>1.0631090729063526E-3</v>
      </c>
      <c r="G67" s="2"/>
      <c r="H67" s="2">
        <f>SUM(OSRRefH22_12x_0)</f>
        <v>350</v>
      </c>
      <c r="I67" s="2"/>
      <c r="J67" s="6">
        <f t="shared" si="9"/>
        <v>1.0178857059764432E-2</v>
      </c>
      <c r="K67" s="2"/>
      <c r="L67" s="2">
        <f t="shared" si="10"/>
        <v>-309.2</v>
      </c>
      <c r="M67" s="2"/>
      <c r="N67" s="6">
        <f t="shared" si="11"/>
        <v>-0.88342857142857134</v>
      </c>
      <c r="O67" s="14"/>
      <c r="P67" s="2">
        <f>SUM(OSRRefP22_12x_0)</f>
        <v>464.49</v>
      </c>
      <c r="Q67" s="2"/>
      <c r="R67" s="6">
        <f t="shared" si="12"/>
        <v>1.0608427543679342E-3</v>
      </c>
      <c r="S67" s="2"/>
      <c r="T67" s="2">
        <f>SUM(OSRRefT22_12x_0)</f>
        <v>3850</v>
      </c>
      <c r="U67" s="2"/>
      <c r="V67" s="6">
        <f t="shared" si="13"/>
        <v>6.8837521992247287E-3</v>
      </c>
      <c r="W67" s="2"/>
      <c r="X67" s="2">
        <f t="shared" si="14"/>
        <v>-3385.51</v>
      </c>
      <c r="Y67" s="2"/>
      <c r="Z67" s="6">
        <f t="shared" si="15"/>
        <v>-0.87935324675324678</v>
      </c>
    </row>
    <row r="68" spans="1:26" s="70" customFormat="1" ht="15" hidden="1" customHeight="1" outlineLevel="2" x14ac:dyDescent="0.25">
      <c r="A68" s="25"/>
      <c r="B68" s="12" t="str">
        <f>CONCATENATE("          ","6309"," - ","TELEPHONE")</f>
        <v xml:space="preserve">          6309 - TELEPHONE</v>
      </c>
      <c r="C68" s="12"/>
      <c r="D68" s="8">
        <v>40.799999999999997</v>
      </c>
      <c r="E68" s="3"/>
      <c r="F68" s="7">
        <f t="shared" si="8"/>
        <v>1.0631090729063526E-3</v>
      </c>
      <c r="G68" s="3"/>
      <c r="H68" s="8">
        <v>350</v>
      </c>
      <c r="I68" s="3"/>
      <c r="J68" s="7">
        <f t="shared" si="9"/>
        <v>1.0178857059764432E-2</v>
      </c>
      <c r="K68" s="3"/>
      <c r="L68" s="8">
        <f t="shared" si="10"/>
        <v>-309.2</v>
      </c>
      <c r="M68" s="3"/>
      <c r="N68" s="7">
        <f t="shared" si="11"/>
        <v>-0.88342857142857134</v>
      </c>
      <c r="O68" s="12"/>
      <c r="P68" s="8">
        <v>464.49</v>
      </c>
      <c r="Q68" s="3"/>
      <c r="R68" s="7">
        <f t="shared" si="12"/>
        <v>1.0608427543679342E-3</v>
      </c>
      <c r="S68" s="3"/>
      <c r="T68" s="8">
        <v>3850</v>
      </c>
      <c r="U68" s="3"/>
      <c r="V68" s="7">
        <f t="shared" si="13"/>
        <v>6.8837521992247287E-3</v>
      </c>
      <c r="W68" s="3"/>
      <c r="X68" s="8">
        <f t="shared" si="14"/>
        <v>-3385.51</v>
      </c>
      <c r="Y68" s="3"/>
      <c r="Z68" s="7">
        <f t="shared" si="15"/>
        <v>-0.87935324675324678</v>
      </c>
    </row>
    <row r="69" spans="1:26" s="69" customFormat="1" ht="15" customHeight="1" outlineLevel="1" collapsed="1" x14ac:dyDescent="0.25">
      <c r="A69" s="26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0</v>
      </c>
      <c r="I69" s="2"/>
      <c r="J69" s="6">
        <f t="shared" si="9"/>
        <v>0</v>
      </c>
      <c r="K69" s="2"/>
      <c r="L69" s="2">
        <f t="shared" si="10"/>
        <v>0</v>
      </c>
      <c r="M69" s="2"/>
      <c r="N69" s="6">
        <f t="shared" si="11"/>
        <v>0</v>
      </c>
      <c r="O69" s="14"/>
      <c r="P69" s="2">
        <f>SUM(OSRRefP22_13x_0)</f>
        <v>2000</v>
      </c>
      <c r="Q69" s="2"/>
      <c r="R69" s="6">
        <f t="shared" si="12"/>
        <v>4.5677743519470142E-3</v>
      </c>
      <c r="S69" s="2"/>
      <c r="T69" s="2">
        <f>SUM(OSRRefT22_13x_0)</f>
        <v>4500</v>
      </c>
      <c r="U69" s="2"/>
      <c r="V69" s="6">
        <f t="shared" si="13"/>
        <v>8.045944128963969E-3</v>
      </c>
      <c r="W69" s="2"/>
      <c r="X69" s="2">
        <f t="shared" si="14"/>
        <v>-2500</v>
      </c>
      <c r="Y69" s="2"/>
      <c r="Z69" s="6">
        <f t="shared" si="15"/>
        <v>-0.55555555555555558</v>
      </c>
    </row>
    <row r="70" spans="1:26" s="70" customFormat="1" ht="15" hidden="1" customHeight="1" outlineLevel="2" x14ac:dyDescent="0.25">
      <c r="A70" s="25"/>
      <c r="B70" s="12" t="str">
        <f>CONCATENATE("          ","6376"," - ","TRAINING")</f>
        <v xml:space="preserve">          6376 - TRAINING</v>
      </c>
      <c r="C70" s="12"/>
      <c r="D70" s="8"/>
      <c r="E70" s="3"/>
      <c r="F70" s="7">
        <f t="shared" si="8"/>
        <v>0</v>
      </c>
      <c r="G70" s="3"/>
      <c r="H70" s="8"/>
      <c r="I70" s="3"/>
      <c r="J70" s="7">
        <f t="shared" si="9"/>
        <v>0</v>
      </c>
      <c r="K70" s="3"/>
      <c r="L70" s="8">
        <f t="shared" si="10"/>
        <v>0</v>
      </c>
      <c r="M70" s="3"/>
      <c r="N70" s="7">
        <f t="shared" si="11"/>
        <v>0</v>
      </c>
      <c r="O70" s="12"/>
      <c r="P70" s="8">
        <v>2000</v>
      </c>
      <c r="Q70" s="3"/>
      <c r="R70" s="7">
        <f t="shared" si="12"/>
        <v>4.5677743519470142E-3</v>
      </c>
      <c r="S70" s="3"/>
      <c r="T70" s="8">
        <v>4500</v>
      </c>
      <c r="U70" s="3"/>
      <c r="V70" s="7">
        <f t="shared" si="13"/>
        <v>8.045944128963969E-3</v>
      </c>
      <c r="W70" s="3"/>
      <c r="X70" s="8">
        <f t="shared" si="14"/>
        <v>-2500</v>
      </c>
      <c r="Y70" s="3"/>
      <c r="Z70" s="7">
        <f t="shared" si="15"/>
        <v>-0.55555555555555558</v>
      </c>
    </row>
    <row r="71" spans="1:26" s="65" customFormat="1" ht="15" customHeight="1" x14ac:dyDescent="0.25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25">
      <c r="A72" s="11"/>
      <c r="B72" s="27" t="s">
        <v>291</v>
      </c>
      <c r="C72" s="11"/>
      <c r="D72" s="5">
        <f>SUM(OSRRefD25x_0)</f>
        <v>1351.76</v>
      </c>
      <c r="E72" s="5"/>
      <c r="F72" s="13">
        <f>IF(D$12=0,0,D72/D$12)</f>
        <v>3.5222262754703214E-2</v>
      </c>
      <c r="G72" s="5"/>
      <c r="H72" s="5">
        <f>SUM(OSRRefH25x_0)</f>
        <v>2400</v>
      </c>
      <c r="I72" s="5"/>
      <c r="J72" s="13">
        <f>IF(H$12=0,0,H72/H$12)</f>
        <v>6.9797876981241819E-2</v>
      </c>
      <c r="K72" s="5"/>
      <c r="L72" s="5">
        <f>+D72-H72</f>
        <v>-1048.24</v>
      </c>
      <c r="M72" s="5"/>
      <c r="N72" s="13">
        <f>IF(H72=0,0,L72/H72)</f>
        <v>-0.43676666666666669</v>
      </c>
      <c r="O72" s="11"/>
      <c r="P72" s="5">
        <f>SUM(OSRRefP25x_0)</f>
        <v>12568.64</v>
      </c>
      <c r="Q72" s="5"/>
      <c r="R72" s="13">
        <f>IF(P$12=0,0,P72/P$12)</f>
        <v>2.8705355715427656E-2</v>
      </c>
      <c r="S72" s="5"/>
      <c r="T72" s="5">
        <f>SUM(OSRRefT25x_0)</f>
        <v>26400</v>
      </c>
      <c r="U72" s="5"/>
      <c r="V72" s="13">
        <f>IF(T$12=0,0,T72/T$12)</f>
        <v>4.7202872223255282E-2</v>
      </c>
      <c r="W72" s="5"/>
      <c r="X72" s="5">
        <f>+P72-T72</f>
        <v>-13831.36</v>
      </c>
      <c r="Y72" s="5"/>
      <c r="Z72" s="13">
        <f>IF(T72=0,0,X72/T72)</f>
        <v>-0.52391515151515156</v>
      </c>
    </row>
    <row r="73" spans="1:26" s="70" customFormat="1" ht="15" hidden="1" customHeight="1" outlineLevel="1" x14ac:dyDescent="0.25">
      <c r="A73" s="42"/>
      <c r="B73" s="12" t="str">
        <f>CONCATENATE("          ","9150"," - ","MISC. INCOME")</f>
        <v xml:space="preserve">          9150 - MISC. INCOME</v>
      </c>
      <c r="C73" s="12"/>
      <c r="D73" s="3">
        <f>--1351.76</f>
        <v>1351.76</v>
      </c>
      <c r="E73" s="3"/>
      <c r="F73" s="20">
        <f>IF(D$12=0,0,D73/D$12)</f>
        <v>3.5222262754703214E-2</v>
      </c>
      <c r="G73" s="3"/>
      <c r="H73" s="3">
        <v>2400</v>
      </c>
      <c r="I73" s="3"/>
      <c r="J73" s="20">
        <f>IF(H$12=0,0,H73/H$12)</f>
        <v>6.9797876981241819E-2</v>
      </c>
      <c r="K73" s="3"/>
      <c r="L73" s="3">
        <f>+D73-H73</f>
        <v>-1048.24</v>
      </c>
      <c r="M73" s="3"/>
      <c r="N73" s="20">
        <f>IF(H73=0,0,L73/H73)</f>
        <v>-0.43676666666666669</v>
      </c>
      <c r="O73" s="12"/>
      <c r="P73" s="3">
        <f>--12568.64</f>
        <v>12568.64</v>
      </c>
      <c r="Q73" s="3"/>
      <c r="R73" s="20">
        <f>IF(P$12=0,0,P73/P$12)</f>
        <v>2.8705355715427656E-2</v>
      </c>
      <c r="S73" s="3"/>
      <c r="T73" s="3">
        <v>26400</v>
      </c>
      <c r="U73" s="3"/>
      <c r="V73" s="20">
        <f>IF(T$12=0,0,T73/T$12)</f>
        <v>4.7202872223255282E-2</v>
      </c>
      <c r="W73" s="3"/>
      <c r="X73" s="3">
        <f>+P73-T73</f>
        <v>-13831.36</v>
      </c>
      <c r="Y73" s="3"/>
      <c r="Z73" s="20">
        <f>IF(T73=0,0,X73/T73)</f>
        <v>-0.52391515151515156</v>
      </c>
    </row>
    <row r="74" spans="1:26" ht="15" customHeight="1" x14ac:dyDescent="0.25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25">
      <c r="A75" s="11"/>
      <c r="B75" s="28" t="s">
        <v>292</v>
      </c>
      <c r="C75" s="28"/>
      <c r="D75" s="22">
        <f>+D17-D19+D72</f>
        <v>569.33999999998719</v>
      </c>
      <c r="E75" s="15"/>
      <c r="F75" s="21">
        <f>IF(D$12=0,0,D75/D$12)</f>
        <v>1.4835061754129636E-2</v>
      </c>
      <c r="G75" s="15"/>
      <c r="H75" s="22">
        <f>+H17-H19+H72</f>
        <v>3514.6434708223096</v>
      </c>
      <c r="I75" s="15"/>
      <c r="J75" s="21">
        <f>IF(H$12=0,0,H75/H$12)</f>
        <v>0.10221443858724182</v>
      </c>
      <c r="K75" s="16"/>
      <c r="L75" s="22">
        <f>+D75-H75</f>
        <v>-2945.3034708223222</v>
      </c>
      <c r="M75" s="16"/>
      <c r="N75" s="21">
        <f>IF(H75=0,0,L75/H75)</f>
        <v>-0.8380091736967048</v>
      </c>
      <c r="O75" s="27"/>
      <c r="P75" s="22">
        <f>+P17-P19+P72</f>
        <v>45253.61000000003</v>
      </c>
      <c r="Q75" s="15"/>
      <c r="R75" s="21">
        <f>IF(P$12=0,0,P75/P$12)</f>
        <v>0.10335413954550653</v>
      </c>
      <c r="S75" s="15"/>
      <c r="T75" s="22">
        <f>+T17-T19+T72</f>
        <v>57161.530934867682</v>
      </c>
      <c r="U75" s="15"/>
      <c r="V75" s="21">
        <f>IF(T$12=0,0,T75/T$12)</f>
        <v>0.1022041076062202</v>
      </c>
      <c r="W75" s="16"/>
      <c r="X75" s="22">
        <f>+P75-T75</f>
        <v>-11907.920934867652</v>
      </c>
      <c r="Y75" s="16"/>
      <c r="Z75" s="21">
        <f>IF(T75=0,0,X75/T75)</f>
        <v>-0.20832053900788716</v>
      </c>
    </row>
    <row r="76" spans="1:26" ht="15" customHeight="1" x14ac:dyDescent="0.25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25">
      <c r="A77" s="49"/>
      <c r="B77" s="11" t="s">
        <v>293</v>
      </c>
      <c r="C77" s="11"/>
      <c r="D77" s="5">
        <v>3971.7</v>
      </c>
      <c r="E77" s="5"/>
      <c r="F77" s="13">
        <f>IF(D$12=0,0,D77/D$12)</f>
        <v>0.10348897806034707</v>
      </c>
      <c r="G77" s="5"/>
      <c r="H77" s="5">
        <v>4760</v>
      </c>
      <c r="I77" s="5"/>
      <c r="J77" s="13">
        <f>IF(H$12=0,0,H77/H$12)</f>
        <v>0.13843245601279627</v>
      </c>
      <c r="K77" s="5"/>
      <c r="L77" s="5">
        <f>+D77-H77</f>
        <v>-788.30000000000018</v>
      </c>
      <c r="M77" s="5"/>
      <c r="N77" s="13">
        <f>IF(H77=0,0,L77/H77)</f>
        <v>-0.16560924369747904</v>
      </c>
      <c r="O77" s="11"/>
      <c r="P77" s="5">
        <v>49225.440000000002</v>
      </c>
      <c r="Q77" s="5"/>
      <c r="R77" s="13">
        <f>IF(P$12=0,0,P77/P$12)</f>
        <v>0.11242535114765331</v>
      </c>
      <c r="S77" s="5"/>
      <c r="T77" s="5">
        <v>69331</v>
      </c>
      <c r="U77" s="5"/>
      <c r="V77" s="13">
        <f>IF(T$12=0,0,T77/T$12)</f>
        <v>0.12396296720115575</v>
      </c>
      <c r="W77" s="5"/>
      <c r="X77" s="5">
        <f>+P77-T77</f>
        <v>-20105.559999999998</v>
      </c>
      <c r="Y77" s="5"/>
      <c r="Z77" s="13">
        <f>IF(T77=0,0,X77/T77)</f>
        <v>-0.28999379786819746</v>
      </c>
    </row>
    <row r="78" spans="1:26" ht="15" customHeight="1" x14ac:dyDescent="0.25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25">
      <c r="A79" s="11"/>
      <c r="B79" s="28" t="s">
        <v>294</v>
      </c>
      <c r="C79" s="28"/>
      <c r="D79" s="34">
        <f>+D75-D77</f>
        <v>-3402.3600000000124</v>
      </c>
      <c r="E79" s="15"/>
      <c r="F79" s="32">
        <f>IF(D$12=0,0,D79/D$12)</f>
        <v>-8.8653916306217426E-2</v>
      </c>
      <c r="G79" s="15"/>
      <c r="H79" s="34">
        <f>+H75-H77</f>
        <v>-1245.3565291776904</v>
      </c>
      <c r="I79" s="15"/>
      <c r="J79" s="32">
        <f>IF(H$12=0,0,H79/H$12)</f>
        <v>-3.6218017425554465E-2</v>
      </c>
      <c r="K79" s="16"/>
      <c r="L79" s="34">
        <f>D79-H79</f>
        <v>-2157.003470822322</v>
      </c>
      <c r="M79" s="16"/>
      <c r="N79" s="32">
        <f>IF(H79=0,0,L79/H79)</f>
        <v>1.7320369069302528</v>
      </c>
      <c r="O79" s="27"/>
      <c r="P79" s="34">
        <f>+P75-P77</f>
        <v>-3971.8299999999726</v>
      </c>
      <c r="Q79" s="15"/>
      <c r="R79" s="32">
        <f>IF(P$12=0,0,P79/P$12)</f>
        <v>-9.0712116021467917E-3</v>
      </c>
      <c r="S79" s="15"/>
      <c r="T79" s="34">
        <f>+T75-T77</f>
        <v>-12169.469065132318</v>
      </c>
      <c r="U79" s="15"/>
      <c r="V79" s="32">
        <f>IF(T$12=0,0,T79/T$12)</f>
        <v>-2.1758859594935558E-2</v>
      </c>
      <c r="W79" s="16"/>
      <c r="X79" s="34">
        <f>P79-T79</f>
        <v>8197.6390651323454</v>
      </c>
      <c r="Y79" s="16"/>
      <c r="Z79" s="32">
        <f>IF(T79=0,0,X79/T79)</f>
        <v>-0.67362339484637268</v>
      </c>
    </row>
    <row r="80" spans="1:26" ht="15" customHeight="1" x14ac:dyDescent="0.25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25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25">
      <c r="A82" s="11"/>
      <c r="B82" s="28" t="s">
        <v>297</v>
      </c>
      <c r="C82" s="28"/>
      <c r="D82" s="30">
        <f>SUM(D79:D81)</f>
        <v>-3402.3600000000124</v>
      </c>
      <c r="E82" s="15"/>
      <c r="F82" s="33">
        <f>IF(D$12=0,0,D82/D$12)</f>
        <v>-8.8653916306217426E-2</v>
      </c>
      <c r="G82" s="15"/>
      <c r="H82" s="30">
        <f>SUM(H79:H81)</f>
        <v>-1245.3565291776904</v>
      </c>
      <c r="I82" s="15"/>
      <c r="J82" s="33">
        <f>IF(H$12=0,0,H82/H$12)</f>
        <v>-3.6218017425554465E-2</v>
      </c>
      <c r="K82" s="16"/>
      <c r="L82" s="30">
        <f>+D82-H82</f>
        <v>-2157.003470822322</v>
      </c>
      <c r="M82" s="16"/>
      <c r="N82" s="33">
        <f>IF(H82=0,0,L82/H82)</f>
        <v>1.7320369069302528</v>
      </c>
      <c r="O82" s="27"/>
      <c r="P82" s="30">
        <f>SUM(P79:P81)</f>
        <v>-3971.8299999999726</v>
      </c>
      <c r="Q82" s="15"/>
      <c r="R82" s="33">
        <f>IF(P$12=0,0,P82/P$12)</f>
        <v>-9.0712116021467917E-3</v>
      </c>
      <c r="S82" s="15"/>
      <c r="T82" s="30">
        <f>SUM(T79:T81)</f>
        <v>-12169.469065132318</v>
      </c>
      <c r="U82" s="15"/>
      <c r="V82" s="33">
        <f>IF(T$12=0,0,T82/T$12)</f>
        <v>-2.1758859594935558E-2</v>
      </c>
      <c r="W82" s="16"/>
      <c r="X82" s="30">
        <f>+P82-T82</f>
        <v>8197.6390651323454</v>
      </c>
      <c r="Y82" s="16"/>
      <c r="Z82" s="33">
        <f>IF(T82=0,0,X82/T82)</f>
        <v>-0.67362339484637268</v>
      </c>
    </row>
    <row r="83" spans="1:26" ht="15" customHeight="1" x14ac:dyDescent="0.25">
      <c r="A83" s="10"/>
      <c r="C83" s="10"/>
      <c r="D83" s="18"/>
      <c r="E83" s="18"/>
      <c r="G83" s="18"/>
      <c r="H83" s="18"/>
      <c r="I83" s="18"/>
      <c r="J83" s="40"/>
      <c r="K83" s="18"/>
      <c r="L83" s="18"/>
      <c r="M83" s="18"/>
      <c r="P83" s="18"/>
      <c r="Q83" s="18"/>
      <c r="R83" s="40"/>
      <c r="S83" s="18"/>
      <c r="T83" s="18"/>
      <c r="U83" s="18"/>
      <c r="V83" s="40"/>
      <c r="W83" s="18"/>
      <c r="X83" s="18"/>
    </row>
    <row r="84" spans="1:26" ht="15" customHeight="1" x14ac:dyDescent="0.25">
      <c r="A84" s="10"/>
      <c r="B84" s="54">
        <v>44727.874527581022</v>
      </c>
      <c r="D84" s="18"/>
      <c r="E84" s="18"/>
      <c r="G84" s="18"/>
      <c r="H84" s="18"/>
      <c r="I84" s="18"/>
      <c r="J84" s="40"/>
      <c r="K84" s="18"/>
      <c r="L84" s="18"/>
      <c r="M84" s="18"/>
      <c r="P84" s="18"/>
      <c r="Q84" s="18"/>
      <c r="R84" s="40"/>
      <c r="S84" s="18"/>
      <c r="T84" s="18"/>
      <c r="U84" s="18"/>
      <c r="V84" s="40"/>
      <c r="W84" s="18"/>
      <c r="X84" s="18"/>
    </row>
    <row r="85" spans="1:26" ht="15" customHeight="1" x14ac:dyDescent="0.25">
      <c r="A85" s="10"/>
      <c r="B85" s="50" t="s">
        <v>298</v>
      </c>
      <c r="D85" s="18"/>
      <c r="E85" s="18"/>
      <c r="G85" s="18"/>
      <c r="H85" s="18"/>
      <c r="I85" s="18"/>
      <c r="J85" s="40"/>
      <c r="K85" s="18"/>
      <c r="L85" s="18"/>
      <c r="M85" s="18"/>
      <c r="P85" s="18"/>
      <c r="Q85" s="18"/>
      <c r="R85" s="40"/>
      <c r="S85" s="18"/>
      <c r="T85" s="18"/>
      <c r="U85" s="18"/>
      <c r="V85" s="40"/>
      <c r="W85" s="18"/>
      <c r="X85" s="18"/>
    </row>
    <row r="86" spans="1:26" ht="15" customHeight="1" x14ac:dyDescent="0.25">
      <c r="A86" s="10"/>
      <c r="B86" s="58"/>
      <c r="D86" s="18"/>
      <c r="E86" s="18"/>
      <c r="G86" s="18"/>
      <c r="H86" s="18"/>
      <c r="I86" s="18"/>
      <c r="J86" s="40"/>
      <c r="K86" s="18"/>
      <c r="L86" s="18"/>
      <c r="M86" s="18"/>
      <c r="P86" s="18"/>
      <c r="Q86" s="18"/>
      <c r="R86" s="40"/>
      <c r="S86" s="18"/>
      <c r="T86" s="18"/>
      <c r="U86" s="18"/>
      <c r="V86" s="40"/>
      <c r="W86" s="18"/>
      <c r="X86" s="18"/>
    </row>
    <row r="87" spans="1:26" ht="15" customHeight="1" x14ac:dyDescent="0.25">
      <c r="D87" s="18"/>
      <c r="E87" s="18"/>
      <c r="G87" s="18"/>
      <c r="H87" s="18"/>
      <c r="I87" s="18"/>
      <c r="J87" s="40"/>
      <c r="K87" s="18"/>
      <c r="L87" s="18"/>
      <c r="M87" s="18"/>
      <c r="P87" s="18"/>
      <c r="Q87" s="18"/>
      <c r="R87" s="40"/>
      <c r="S87" s="18"/>
      <c r="T87" s="18"/>
      <c r="U87" s="18"/>
      <c r="V87" s="40"/>
      <c r="W87" s="18"/>
      <c r="X87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75AAC-D026-906A-65AF-F08077AE665A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A8C4C-C7F4-AFB6-E1DF-7C9F61B0ACF6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6423A-EDD6-ECA2-31F8-4F3456A009D6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25"/>
  <cols>
    <col min="1" max="1" width="1.85546875" style="66" customWidth="1"/>
    <col min="2" max="2" width="33.42578125" style="66" customWidth="1"/>
    <col min="3" max="3" width="1.85546875" style="66" customWidth="1"/>
    <col min="4" max="4" width="15" style="66" customWidth="1"/>
    <col min="5" max="5" width="1.85546875" style="66" customWidth="1" outlineLevel="1"/>
    <col min="6" max="6" width="15" style="67" customWidth="1" outlineLevel="1"/>
    <col min="7" max="7" width="1.85546875" style="66" customWidth="1" outlineLevel="1"/>
    <col min="8" max="8" width="15" style="66" customWidth="1" outlineLevel="1"/>
    <col min="9" max="9" width="1.85546875" style="66" customWidth="1" outlineLevel="1"/>
    <col min="10" max="10" width="15" style="68" customWidth="1" outlineLevel="1"/>
    <col min="11" max="11" width="1.85546875" style="66" customWidth="1" outlineLevel="1"/>
    <col min="12" max="12" width="15" style="66" customWidth="1" outlineLevel="1"/>
    <col min="13" max="13" width="1.85546875" style="66" customWidth="1" outlineLevel="1"/>
    <col min="14" max="14" width="15" style="67" customWidth="1" outlineLevel="1"/>
    <col min="15" max="15" width="1.85546875" style="64" customWidth="1"/>
    <col min="16" max="16" width="15" style="66" customWidth="1"/>
    <col min="17" max="17" width="1.85546875" style="66" customWidth="1" outlineLevel="1"/>
    <col min="18" max="18" width="15" style="68" customWidth="1" outlineLevel="1"/>
    <col min="19" max="19" width="1.85546875" style="66" customWidth="1" outlineLevel="1"/>
    <col min="20" max="20" width="15" style="66" customWidth="1" outlineLevel="1"/>
    <col min="21" max="21" width="1.85546875" style="66" customWidth="1" outlineLevel="1"/>
    <col min="22" max="22" width="15" style="68" customWidth="1" outlineLevel="1"/>
    <col min="23" max="23" width="1.85546875" style="66" customWidth="1" outlineLevel="1"/>
    <col min="24" max="24" width="15" style="66" customWidth="1" outlineLevel="1"/>
    <col min="25" max="25" width="1.85546875" style="66" customWidth="1" outlineLevel="1"/>
    <col min="26" max="26" width="15" style="68" customWidth="1" outlineLevel="1"/>
  </cols>
  <sheetData>
    <row r="2" spans="1:26" ht="15" customHeight="1" x14ac:dyDescent="0.25">
      <c r="D2" s="59" t="s">
        <v>276</v>
      </c>
    </row>
    <row r="3" spans="1:26" ht="15" customHeight="1" x14ac:dyDescent="0.25">
      <c r="D3" s="59" t="s">
        <v>277</v>
      </c>
      <c r="E3" s="19"/>
      <c r="F3" s="44"/>
      <c r="G3" s="19"/>
      <c r="H3" s="19"/>
      <c r="I3" s="19"/>
      <c r="J3" s="37"/>
      <c r="K3" s="19"/>
      <c r="L3" s="19"/>
      <c r="M3" s="19"/>
      <c r="N3" s="44"/>
      <c r="O3" s="52"/>
      <c r="P3" s="19"/>
      <c r="Q3" s="19"/>
      <c r="R3" s="37"/>
      <c r="S3" s="19"/>
      <c r="T3" s="19"/>
      <c r="U3" s="19"/>
      <c r="V3" s="37"/>
      <c r="W3" s="19"/>
      <c r="X3" s="19"/>
      <c r="Y3" s="19"/>
      <c r="Z3" s="37"/>
    </row>
    <row r="4" spans="1:26" ht="15" customHeight="1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9"/>
      <c r="F4" s="44"/>
      <c r="G4" s="19"/>
      <c r="H4" s="19"/>
      <c r="I4" s="19"/>
      <c r="J4" s="37"/>
      <c r="K4" s="19"/>
      <c r="L4" s="19"/>
      <c r="M4" s="19"/>
      <c r="N4" s="44"/>
      <c r="O4" s="52"/>
      <c r="P4" s="19"/>
      <c r="Q4" s="19"/>
      <c r="R4" s="37"/>
      <c r="S4" s="19"/>
      <c r="T4" s="19"/>
      <c r="U4" s="19"/>
      <c r="V4" s="37"/>
      <c r="W4" s="19"/>
      <c r="X4" s="19"/>
      <c r="Y4" s="19"/>
      <c r="Z4" s="37"/>
    </row>
    <row r="5" spans="1:26" ht="15" customHeight="1" x14ac:dyDescent="0.25">
      <c r="A5" s="24"/>
      <c r="D5" s="61" t="e">
        <f ca="1">_xll.ONESTOP.REPORTPLAYER.OSRFUNCTIONS.OSRGET("Period","PeriodEnd")</f>
        <v>#NAME?</v>
      </c>
      <c r="E5" s="19"/>
      <c r="F5" s="44"/>
      <c r="G5" s="19"/>
      <c r="H5" s="19"/>
      <c r="I5" s="19"/>
      <c r="J5" s="37"/>
      <c r="K5" s="19"/>
      <c r="L5" s="19"/>
      <c r="M5" s="19"/>
      <c r="N5" s="44"/>
      <c r="O5" s="52"/>
      <c r="P5" s="19"/>
      <c r="Q5" s="19"/>
      <c r="R5" s="37"/>
      <c r="S5" s="19"/>
      <c r="T5" s="19"/>
      <c r="U5" s="19"/>
      <c r="V5" s="37"/>
      <c r="W5" s="19"/>
      <c r="X5" s="19"/>
      <c r="Y5" s="19"/>
      <c r="Z5" s="37"/>
    </row>
    <row r="6" spans="1:26" ht="15" customHeight="1" x14ac:dyDescent="0.25">
      <c r="A6" s="24"/>
      <c r="B6" s="46"/>
      <c r="C6" s="46"/>
      <c r="D6" s="24" t="e">
        <f ca="1">CONCATENATE("Department ",_xll.ONESTOP.REPORTPLAYER.OSRFUNCTIONS.OSRGET("d_dim0","Code")," - ",_xll.ONESTOP.REPORTPLAYER.OSRFUNCTIONS.OSRGET("d_dim0","Description"))</f>
        <v>#NAME?</v>
      </c>
      <c r="E6" s="19"/>
      <c r="F6" s="44"/>
      <c r="G6" s="19"/>
      <c r="H6" s="19"/>
      <c r="I6" s="19"/>
      <c r="J6" s="37"/>
      <c r="K6" s="19"/>
      <c r="L6" s="19"/>
      <c r="M6" s="19"/>
      <c r="N6" s="44"/>
      <c r="O6" s="57"/>
      <c r="P6" s="19"/>
      <c r="Q6" s="19"/>
      <c r="R6" s="37"/>
      <c r="S6" s="19"/>
      <c r="T6" s="19"/>
      <c r="U6" s="19"/>
      <c r="V6" s="37"/>
      <c r="W6" s="19"/>
      <c r="X6" s="19"/>
      <c r="Y6" s="19"/>
      <c r="Z6" s="37"/>
    </row>
    <row r="7" spans="1:26" ht="15" customHeight="1" x14ac:dyDescent="0.25">
      <c r="B7" s="53"/>
    </row>
    <row r="8" spans="1:26" ht="15" customHeight="1" x14ac:dyDescent="0.25">
      <c r="B8" s="53"/>
    </row>
    <row r="9" spans="1:26" ht="15" customHeight="1" x14ac:dyDescent="0.25">
      <c r="B9" s="10"/>
      <c r="C9" s="10"/>
      <c r="D9" s="17" t="s">
        <v>279</v>
      </c>
      <c r="E9" s="17"/>
      <c r="F9" s="38"/>
      <c r="G9" s="17"/>
      <c r="H9" s="17"/>
      <c r="I9" s="17"/>
      <c r="J9" s="47"/>
      <c r="K9" s="17"/>
      <c r="L9" s="17"/>
      <c r="M9" s="17"/>
      <c r="N9" s="38"/>
      <c r="P9" s="17" t="s">
        <v>280</v>
      </c>
      <c r="Q9" s="17"/>
      <c r="R9" s="38"/>
      <c r="S9" s="17"/>
      <c r="T9" s="17"/>
      <c r="U9" s="17"/>
      <c r="V9" s="47"/>
      <c r="W9" s="17"/>
      <c r="X9" s="17"/>
      <c r="Y9" s="17"/>
      <c r="Z9" s="38"/>
    </row>
    <row r="10" spans="1:26" ht="15" customHeight="1" x14ac:dyDescent="0.25">
      <c r="A10" s="11"/>
      <c r="B10" s="51"/>
      <c r="C10" s="11"/>
      <c r="D10" s="41" t="s">
        <v>281</v>
      </c>
      <c r="E10" s="29"/>
      <c r="F10" s="36" t="s">
        <v>282</v>
      </c>
      <c r="G10" s="29"/>
      <c r="H10" s="43" t="s">
        <v>283</v>
      </c>
      <c r="I10" s="29"/>
      <c r="J10" s="45" t="s">
        <v>284</v>
      </c>
      <c r="K10" s="11"/>
      <c r="L10" s="41" t="s">
        <v>285</v>
      </c>
      <c r="M10" s="11"/>
      <c r="N10" s="36" t="s">
        <v>286</v>
      </c>
      <c r="O10" s="11"/>
      <c r="P10" s="56" t="s">
        <v>281</v>
      </c>
      <c r="Q10" s="29"/>
      <c r="R10" s="36" t="s">
        <v>282</v>
      </c>
      <c r="S10" s="29"/>
      <c r="T10" s="43" t="s">
        <v>283</v>
      </c>
      <c r="U10" s="29"/>
      <c r="V10" s="45" t="s">
        <v>284</v>
      </c>
      <c r="W10" s="11"/>
      <c r="X10" s="41" t="s">
        <v>285</v>
      </c>
      <c r="Y10" s="11"/>
      <c r="Z10" s="36" t="s">
        <v>286</v>
      </c>
    </row>
    <row r="11" spans="1:26" ht="16.5" customHeight="1" x14ac:dyDescent="0.25">
      <c r="A11" s="10"/>
      <c r="B11" s="55"/>
      <c r="C11" s="10"/>
      <c r="D11" s="10"/>
      <c r="E11" s="10"/>
      <c r="F11" s="9"/>
      <c r="G11" s="10"/>
      <c r="H11" s="10"/>
      <c r="I11" s="10"/>
      <c r="J11" s="48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8"/>
      <c r="W11" s="10"/>
      <c r="X11" s="10"/>
      <c r="Y11" s="10"/>
      <c r="Z11" s="9"/>
    </row>
    <row r="12" spans="1:26" s="63" customFormat="1" ht="15" customHeight="1" collapsed="1" x14ac:dyDescent="0.25">
      <c r="A12" s="11"/>
      <c r="B12" s="27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25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25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25">
      <c r="A15" s="11"/>
      <c r="B15" s="27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25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25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25">
      <c r="A18" s="11"/>
      <c r="B18" s="28" t="s">
        <v>289</v>
      </c>
      <c r="C18" s="28"/>
      <c r="D18" s="22" t="e">
        <f ca="1">D12-D15</f>
        <v>#NAME?</v>
      </c>
      <c r="E18" s="15"/>
      <c r="F18" s="21" t="e">
        <f ca="1">IF(D$12=0,0,D18/D$12)</f>
        <v>#NAME?</v>
      </c>
      <c r="G18" s="15"/>
      <c r="H18" s="22" t="e">
        <f ca="1">H12-H15</f>
        <v>#NAME?</v>
      </c>
      <c r="I18" s="15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7"/>
      <c r="P18" s="22" t="e">
        <f ca="1">P12-P15</f>
        <v>#NAME?</v>
      </c>
      <c r="Q18" s="15"/>
      <c r="R18" s="21" t="e">
        <f ca="1">IF(P$12=0,0,P18/P$12)</f>
        <v>#NAME?</v>
      </c>
      <c r="S18" s="15"/>
      <c r="T18" s="22" t="e">
        <f ca="1">T12-T15</f>
        <v>#NAME?</v>
      </c>
      <c r="U18" s="15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ht="15" customHeight="1" x14ac:dyDescent="0.25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25">
      <c r="A20" s="11"/>
      <c r="B20" s="27" t="s">
        <v>290</v>
      </c>
      <c r="C20" s="11"/>
      <c r="D20" s="23" t="e">
        <f ca="1">SUM(_xll.ONESTOP.REPORTPLAYER.OSRFUNCTIONS.OSRREF(D22))</f>
        <v>#NAME?</v>
      </c>
      <c r="E20" s="23"/>
      <c r="F20" s="31" t="e">
        <f ca="1">IF(D$12=0,0,D20/D$12)</f>
        <v>#NAME?</v>
      </c>
      <c r="G20" s="23"/>
      <c r="H20" s="23" t="e">
        <f ca="1">SUM(_xll.ONESTOP.REPORTPLAYER.OSRFUNCTIONS.OSRREF(H22))</f>
        <v>#NAME?</v>
      </c>
      <c r="I20" s="23"/>
      <c r="J20" s="31" t="e">
        <f ca="1">IF(H$12=0,0,H20/H$12)</f>
        <v>#NAME?</v>
      </c>
      <c r="K20" s="5"/>
      <c r="L20" s="23" t="e">
        <f ca="1">+D20-H20</f>
        <v>#NAME?</v>
      </c>
      <c r="M20" s="5"/>
      <c r="N20" s="31" t="e">
        <f ca="1">IF(H20=0,0,L20/H20)</f>
        <v>#NAME?</v>
      </c>
      <c r="O20" s="11"/>
      <c r="P20" s="23" t="e">
        <f ca="1">SUM(_xll.ONESTOP.REPORTPLAYER.OSRFUNCTIONS.OSRREF(P22))</f>
        <v>#NAME?</v>
      </c>
      <c r="Q20" s="23"/>
      <c r="R20" s="31" t="e">
        <f ca="1">IF(P$12=0,0,P20/P$12)</f>
        <v>#NAME?</v>
      </c>
      <c r="S20" s="23"/>
      <c r="T20" s="23" t="e">
        <f ca="1">SUM(_xll.ONESTOP.REPORTPLAYER.OSRFUNCTIONS.OSRREF(T22))</f>
        <v>#NAME?</v>
      </c>
      <c r="U20" s="23"/>
      <c r="V20" s="31" t="e">
        <f ca="1">IF(T$12=0,0,T20/T$12)</f>
        <v>#NAME?</v>
      </c>
      <c r="W20" s="5"/>
      <c r="X20" s="23" t="e">
        <f ca="1">+P20-T20</f>
        <v>#NAME?</v>
      </c>
      <c r="Y20" s="5"/>
      <c r="Z20" s="31" t="e">
        <f ca="1">IF(T20=0,0,X20/T20)</f>
        <v>#NAME?</v>
      </c>
    </row>
    <row r="21" spans="1:26" s="69" customFormat="1" ht="15" customHeight="1" outlineLevel="1" collapsed="1" x14ac:dyDescent="0.25">
      <c r="A21" s="26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25">
      <c r="A22" s="25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8" t="e">
        <f ca="1">_xll.ONESTOP.REPORTPLAYER.OSRFUNCTIONS.OSRGET("GL_F_Trans","Value1")</f>
        <v>#NAME?</v>
      </c>
      <c r="E22" s="3"/>
      <c r="F22" s="7" t="e">
        <f ca="1">IF(D$12=0,0,D22/D$12)</f>
        <v>#NAME?</v>
      </c>
      <c r="G22" s="3"/>
      <c r="H22" s="8" t="e">
        <f ca="1">_xll.ONESTOP.REPORTPLAYER.OSRFUNCTIONS.OSRGET("GL_F_Trans","Value1")</f>
        <v>#NAME?</v>
      </c>
      <c r="I22" s="3"/>
      <c r="J22" s="7" t="e">
        <f ca="1">IF(H$12=0,0,H22/H$12)</f>
        <v>#NAME?</v>
      </c>
      <c r="K22" s="3"/>
      <c r="L22" s="8" t="e">
        <f ca="1">+D22-H22</f>
        <v>#NAME?</v>
      </c>
      <c r="M22" s="3"/>
      <c r="N22" s="7" t="e">
        <f ca="1">IF(H22=0,0,L22/H22)</f>
        <v>#NAME?</v>
      </c>
      <c r="O22" s="12"/>
      <c r="P22" s="8" t="e">
        <f ca="1">_xll.ONESTOP.REPORTPLAYER.OSRFUNCTIONS.OSRGET("GL_F_Trans","Value1")</f>
        <v>#NAME?</v>
      </c>
      <c r="Q22" s="3"/>
      <c r="R22" s="7" t="e">
        <f ca="1">IF(P$12=0,0,P22/P$12)</f>
        <v>#NAME?</v>
      </c>
      <c r="S22" s="3"/>
      <c r="T22" s="8" t="e">
        <f ca="1">_xll.ONESTOP.REPORTPLAYER.OSRFUNCTIONS.OSRGET("GL_F_Trans","Value1")</f>
        <v>#NAME?</v>
      </c>
      <c r="U22" s="3"/>
      <c r="V22" s="7" t="e">
        <f ca="1">IF(T$12=0,0,T22/T$12)</f>
        <v>#NAME?</v>
      </c>
      <c r="W22" s="3"/>
      <c r="X22" s="8" t="e">
        <f ca="1">+P22-T22</f>
        <v>#NAME?</v>
      </c>
      <c r="Y22" s="3"/>
      <c r="Z22" s="7" t="e">
        <f ca="1">IF(T22=0,0,X22/T22)</f>
        <v>#NAME?</v>
      </c>
    </row>
    <row r="23" spans="1:26" s="65" customFormat="1" ht="15" customHeight="1" x14ac:dyDescent="0.25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25">
      <c r="A24" s="11"/>
      <c r="B24" s="27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25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25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25">
      <c r="A27" s="11"/>
      <c r="B27" s="28" t="s">
        <v>292</v>
      </c>
      <c r="C27" s="28"/>
      <c r="D27" s="22" t="e">
        <f ca="1">+D18-D20+D24</f>
        <v>#NAME?</v>
      </c>
      <c r="E27" s="15"/>
      <c r="F27" s="21" t="e">
        <f ca="1">IF(D$12=0,0,D27/D$12)</f>
        <v>#NAME?</v>
      </c>
      <c r="G27" s="15"/>
      <c r="H27" s="22" t="e">
        <f ca="1">+H18-H20+H24</f>
        <v>#NAME?</v>
      </c>
      <c r="I27" s="15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7"/>
      <c r="P27" s="22" t="e">
        <f ca="1">+P18-P20+P24</f>
        <v>#NAME?</v>
      </c>
      <c r="Q27" s="15"/>
      <c r="R27" s="21" t="e">
        <f ca="1">IF(P$12=0,0,P27/P$12)</f>
        <v>#NAME?</v>
      </c>
      <c r="S27" s="15"/>
      <c r="T27" s="22" t="e">
        <f ca="1">+T18-T20+T24</f>
        <v>#NAME?</v>
      </c>
      <c r="U27" s="15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ht="15" customHeight="1" x14ac:dyDescent="0.25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25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25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25">
      <c r="A31" s="11"/>
      <c r="B31" s="28" t="s">
        <v>294</v>
      </c>
      <c r="C31" s="28"/>
      <c r="D31" s="34" t="e">
        <f ca="1">+D27-D29</f>
        <v>#NAME?</v>
      </c>
      <c r="E31" s="15"/>
      <c r="F31" s="32" t="e">
        <f ca="1">IF(D$12=0,0,D31/D$12)</f>
        <v>#NAME?</v>
      </c>
      <c r="G31" s="15"/>
      <c r="H31" s="34" t="e">
        <f ca="1">+H27-H29</f>
        <v>#NAME?</v>
      </c>
      <c r="I31" s="15"/>
      <c r="J31" s="32" t="e">
        <f ca="1">IF(H$12=0,0,H31/H$12)</f>
        <v>#NAME?</v>
      </c>
      <c r="K31" s="16"/>
      <c r="L31" s="34" t="e">
        <f ca="1">D31-H31</f>
        <v>#NAME?</v>
      </c>
      <c r="M31" s="16"/>
      <c r="N31" s="32" t="e">
        <f ca="1">IF(H31=0,0,L31/H31)</f>
        <v>#NAME?</v>
      </c>
      <c r="O31" s="27"/>
      <c r="P31" s="34" t="e">
        <f ca="1">+P27-P29</f>
        <v>#NAME?</v>
      </c>
      <c r="Q31" s="15"/>
      <c r="R31" s="32" t="e">
        <f ca="1">IF(P$12=0,0,P31/P$12)</f>
        <v>#NAME?</v>
      </c>
      <c r="S31" s="15"/>
      <c r="T31" s="34" t="e">
        <f ca="1">+T27-T29</f>
        <v>#NAME?</v>
      </c>
      <c r="U31" s="15"/>
      <c r="V31" s="32" t="e">
        <f ca="1">IF(T$12=0,0,T31/T$12)</f>
        <v>#NAME?</v>
      </c>
      <c r="W31" s="16"/>
      <c r="X31" s="34" t="e">
        <f ca="1">P31-T31</f>
        <v>#NAME?</v>
      </c>
      <c r="Y31" s="16"/>
      <c r="Z31" s="32" t="e">
        <f ca="1">IF(T31=0,0,X31/T31)</f>
        <v>#NAME?</v>
      </c>
    </row>
    <row r="32" spans="1:26" ht="15" customHeight="1" x14ac:dyDescent="0.25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25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25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25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25">
      <c r="A36" s="11"/>
      <c r="B36" s="28" t="s">
        <v>297</v>
      </c>
      <c r="C36" s="28"/>
      <c r="D36" s="30" t="e">
        <f ca="1">SUM(D31:D35)</f>
        <v>#NAME?</v>
      </c>
      <c r="E36" s="15"/>
      <c r="F36" s="33" t="e">
        <f ca="1">IF(D$12=0,0,D36/D$12)</f>
        <v>#NAME?</v>
      </c>
      <c r="G36" s="15"/>
      <c r="H36" s="30" t="e">
        <f ca="1">SUM(H31:H35)</f>
        <v>#NAME?</v>
      </c>
      <c r="I36" s="15"/>
      <c r="J36" s="33" t="e">
        <f ca="1">IF(H$12=0,0,H36/H$12)</f>
        <v>#NAME?</v>
      </c>
      <c r="K36" s="16"/>
      <c r="L36" s="30" t="e">
        <f ca="1">+D36-H36</f>
        <v>#NAME?</v>
      </c>
      <c r="M36" s="16"/>
      <c r="N36" s="33" t="e">
        <f ca="1">IF(H36=0,0,L36/H36)</f>
        <v>#NAME?</v>
      </c>
      <c r="O36" s="27"/>
      <c r="P36" s="30" t="e">
        <f ca="1">SUM(P31:P35)</f>
        <v>#NAME?</v>
      </c>
      <c r="Q36" s="15"/>
      <c r="R36" s="33" t="e">
        <f ca="1">IF(P$12=0,0,P36/P$12)</f>
        <v>#NAME?</v>
      </c>
      <c r="S36" s="15"/>
      <c r="T36" s="30" t="e">
        <f ca="1">SUM(T31:T35)</f>
        <v>#NAME?</v>
      </c>
      <c r="U36" s="15"/>
      <c r="V36" s="33" t="e">
        <f ca="1">IF(T$12=0,0,T36/T$12)</f>
        <v>#NAME?</v>
      </c>
      <c r="W36" s="16"/>
      <c r="X36" s="30" t="e">
        <f ca="1">+P36-T36</f>
        <v>#NAME?</v>
      </c>
      <c r="Y36" s="16"/>
      <c r="Z36" s="33" t="e">
        <f ca="1">IF(T36=0,0,X36/T36)</f>
        <v>#NAME?</v>
      </c>
    </row>
    <row r="37" spans="1:26" ht="15" customHeight="1" x14ac:dyDescent="0.25">
      <c r="A37" s="10"/>
      <c r="C37" s="10"/>
      <c r="D37" s="18"/>
      <c r="E37" s="18"/>
      <c r="G37" s="18"/>
      <c r="H37" s="18"/>
      <c r="I37" s="18"/>
      <c r="J37" s="40"/>
      <c r="K37" s="18"/>
      <c r="L37" s="18"/>
      <c r="M37" s="18"/>
      <c r="P37" s="18"/>
      <c r="Q37" s="18"/>
      <c r="R37" s="40"/>
      <c r="S37" s="18"/>
      <c r="T37" s="18"/>
      <c r="U37" s="18"/>
      <c r="V37" s="40"/>
      <c r="W37" s="18"/>
      <c r="X37" s="18"/>
    </row>
    <row r="38" spans="1:26" ht="15" customHeight="1" x14ac:dyDescent="0.25">
      <c r="A38" s="10"/>
      <c r="B38" s="54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0"/>
      <c r="K38" s="18"/>
      <c r="L38" s="18"/>
      <c r="M38" s="18"/>
      <c r="P38" s="18"/>
      <c r="Q38" s="18"/>
      <c r="R38" s="40"/>
      <c r="S38" s="18"/>
      <c r="T38" s="18"/>
      <c r="U38" s="18"/>
      <c r="V38" s="40"/>
      <c r="W38" s="18"/>
      <c r="X38" s="18"/>
    </row>
    <row r="39" spans="1:26" ht="15" customHeight="1" x14ac:dyDescent="0.25">
      <c r="A39" s="10"/>
      <c r="B39" s="50" t="e">
        <f ca="1">_xll.ONESTOP.REPORTPLAYER.OSRFUNCTIONS.OSRGET("User","UserId")</f>
        <v>#NAME?</v>
      </c>
      <c r="D39" s="18"/>
      <c r="E39" s="18"/>
      <c r="G39" s="18"/>
      <c r="H39" s="18"/>
      <c r="I39" s="18"/>
      <c r="J39" s="40"/>
      <c r="K39" s="18"/>
      <c r="L39" s="18"/>
      <c r="M39" s="18"/>
      <c r="P39" s="18"/>
      <c r="Q39" s="18"/>
      <c r="R39" s="40"/>
      <c r="S39" s="18"/>
      <c r="T39" s="18"/>
      <c r="U39" s="18"/>
      <c r="V39" s="40"/>
      <c r="W39" s="18"/>
      <c r="X39" s="18"/>
    </row>
    <row r="40" spans="1:26" ht="15" customHeight="1" x14ac:dyDescent="0.25">
      <c r="A40" s="10"/>
      <c r="B40" s="58"/>
      <c r="D40" s="18"/>
      <c r="E40" s="18"/>
      <c r="G40" s="18"/>
      <c r="H40" s="18"/>
      <c r="I40" s="18"/>
      <c r="J40" s="40"/>
      <c r="K40" s="18"/>
      <c r="L40" s="18"/>
      <c r="M40" s="18"/>
      <c r="P40" s="18"/>
      <c r="Q40" s="18"/>
      <c r="R40" s="40"/>
      <c r="S40" s="18"/>
      <c r="T40" s="18"/>
      <c r="U40" s="18"/>
      <c r="V40" s="40"/>
      <c r="W40" s="18"/>
      <c r="X40" s="18"/>
    </row>
    <row r="41" spans="1:26" ht="15" customHeight="1" x14ac:dyDescent="0.25">
      <c r="D41" s="18"/>
      <c r="E41" s="18"/>
      <c r="G41" s="18"/>
      <c r="H41" s="18"/>
      <c r="I41" s="18"/>
      <c r="J41" s="40"/>
      <c r="K41" s="18"/>
      <c r="L41" s="18"/>
      <c r="M41" s="18"/>
      <c r="P41" s="18"/>
      <c r="Q41" s="18"/>
      <c r="R41" s="40"/>
      <c r="S41" s="18"/>
      <c r="T41" s="18"/>
      <c r="U41" s="18"/>
      <c r="V41" s="40"/>
      <c r="W41" s="18"/>
      <c r="X41" s="18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3678</vt:i4>
      </vt:variant>
    </vt:vector>
  </HeadingPairs>
  <TitlesOfParts>
    <vt:vector size="3771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'415'!OSRRefD13x_0</vt:lpstr>
      <vt:lpstr>'418'!OSRRefD13x_0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'415'!OSRRefD16x_0</vt:lpstr>
      <vt:lpstr>'418'!OSRRefD16x_0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'321'!OSRRefD22_12x_0</vt:lpstr>
      <vt:lpstr>'325'!OSRRefD22_12x_0</vt:lpstr>
      <vt:lpstr>'326'!OSRRefD22_12x_0</vt:lpstr>
      <vt:lpstr>'331'!OSRRefD22_12x_0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'411'!OSRRefD22_16x_0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'315'!OSRRefD22_18x_0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'331'!OSRRefD22_21x_0</vt:lpstr>
      <vt:lpstr>'333'!OSRRefD22_21x_0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'411'!OSRRefD22_4x_0</vt:lpstr>
      <vt:lpstr>'412'!OSRRefD22_4x_0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'415'!OSRRefH13x_0</vt:lpstr>
      <vt:lpstr>'418'!OSRRefH13x_0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'415'!OSRRefH16x_0</vt:lpstr>
      <vt:lpstr>'418'!OSRRefH16x_0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'321'!OSRRefH22_12x_0</vt:lpstr>
      <vt:lpstr>'325'!OSRRefH22_12x_0</vt:lpstr>
      <vt:lpstr>'326'!OSRRefH22_12x_0</vt:lpstr>
      <vt:lpstr>'331'!OSRRefH22_12x_0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'411'!OSRRefH22_16x_0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'315'!OSRRefH22_18x_0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'331'!OSRRefH22_21x_0</vt:lpstr>
      <vt:lpstr>'333'!OSRRefH22_21x_0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'411'!OSRRefH22_4x_0</vt:lpstr>
      <vt:lpstr>'412'!OSRRefH22_4x_0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'415'!OSRRefP13x_0</vt:lpstr>
      <vt:lpstr>'418'!OSRRefP13x_0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'415'!OSRRefP16x_0</vt:lpstr>
      <vt:lpstr>'418'!OSRRefP16x_0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'321'!OSRRefP22_12x_0</vt:lpstr>
      <vt:lpstr>'325'!OSRRefP22_12x_0</vt:lpstr>
      <vt:lpstr>'326'!OSRRefP22_12x_0</vt:lpstr>
      <vt:lpstr>'331'!OSRRefP22_12x_0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'411'!OSRRefP22_16x_0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'315'!OSRRefP22_18x_0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'331'!OSRRefP22_21x_0</vt:lpstr>
      <vt:lpstr>'333'!OSRRefP22_21x_0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'411'!OSRRefP22_4x_0</vt:lpstr>
      <vt:lpstr>'412'!OSRRefP22_4x_0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'415'!OSRRefT13x_0</vt:lpstr>
      <vt:lpstr>'418'!OSRRefT13x_0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'415'!OSRRefT16x_0</vt:lpstr>
      <vt:lpstr>'418'!OSRRefT16x_0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'321'!OSRRefT22_12x_0</vt:lpstr>
      <vt:lpstr>'325'!OSRRefT22_12x_0</vt:lpstr>
      <vt:lpstr>'326'!OSRRefT22_12x_0</vt:lpstr>
      <vt:lpstr>'331'!OSRRefT22_12x_0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'411'!OSRRefT22_16x_0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'315'!OSRRefT22_18x_0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'331'!OSRRefT22_21x_0</vt:lpstr>
      <vt:lpstr>'333'!OSRRefT22_21x_0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'411'!OSRRefT22_4x_0</vt:lpstr>
      <vt:lpstr>'412'!OSRRefT22_4x_0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2022-06-15T21:01:14Z</dcterms:created>
  <dcterms:modified xsi:type="dcterms:W3CDTF">2022-06-15T21:17:02Z</dcterms:modified>
</cp:coreProperties>
</file>